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21840" windowHeight="12705" activeTab="0"/>
  </bookViews>
  <sheets>
    <sheet name="прогноз ожидаемого испол 2019" sheetId="1" r:id="rId1"/>
  </sheets>
  <definedNames>
    <definedName name="_xlnm.Print_Titles" localSheetId="0">'прогноз ожидаемого испол 2019'!$4:$6</definedName>
    <definedName name="_xlnm.Print_Area" localSheetId="0">'прогноз ожидаемого испол 2019'!$A$1:$L$127</definedName>
  </definedNames>
  <calcPr fullCalcOnLoad="1"/>
</workbook>
</file>

<file path=xl/sharedStrings.xml><?xml version="1.0" encoding="utf-8"?>
<sst xmlns="http://schemas.openxmlformats.org/spreadsheetml/2006/main" count="184" uniqueCount="180">
  <si>
    <t>ДОХОДЫ</t>
  </si>
  <si>
    <t>Налоговые доходы</t>
  </si>
  <si>
    <t>Налог на доходы физических лиц</t>
  </si>
  <si>
    <t>Государственная пошлина</t>
  </si>
  <si>
    <t>Задолженность по отмененным налогам и сборам</t>
  </si>
  <si>
    <t>Неналоговые доходы</t>
  </si>
  <si>
    <t>Аренда земли</t>
  </si>
  <si>
    <t>Аренда имущества</t>
  </si>
  <si>
    <t>Плата за негативное воздействие на окружающую среду</t>
  </si>
  <si>
    <t>ВСЕГО доходов</t>
  </si>
  <si>
    <t>РАСХОДЫ</t>
  </si>
  <si>
    <t>Дефицит</t>
  </si>
  <si>
    <t>Доходы от продажи квартир</t>
  </si>
  <si>
    <t>Прочие поступления от использования имущества 
(найм жилых помещений)</t>
  </si>
  <si>
    <t>Исполненоза 4 месяца  к плану 
4 месяцев</t>
  </si>
  <si>
    <t>(тыс. руб.)</t>
  </si>
  <si>
    <t>Исполнено</t>
  </si>
  <si>
    <t>Возврат остатков субсидий и субвенций 
из бюджетов городских округов</t>
  </si>
  <si>
    <t>0100</t>
  </si>
  <si>
    <t>ОБЩЕГОСУДАРСТВЕННЫЕ ВОПРОСЫ</t>
  </si>
  <si>
    <t>0102</t>
  </si>
  <si>
    <t>0103</t>
  </si>
  <si>
    <t>0104</t>
  </si>
  <si>
    <t>0105</t>
  </si>
  <si>
    <t>Судебная система</t>
  </si>
  <si>
    <t>0106</t>
  </si>
  <si>
    <t>0107</t>
  </si>
  <si>
    <t>Обеспечение проведения выборов и референдумов</t>
  </si>
  <si>
    <t>0111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</si>
  <si>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</si>
  <si>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</si>
  <si>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</si>
  <si>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0300</t>
  </si>
  <si>
    <t>НАЦИОНАЛЬНАЯ БЕЗОПАСНОСТЬ И
ПРАВООХРАНИТЕЛЬНАЯ ДЕЯТЕЛЬНОСТЬ</t>
  </si>
  <si>
    <t>0302</t>
  </si>
  <si>
    <t>Органы внутренних дел</t>
  </si>
  <si>
    <t>0309</t>
  </si>
  <si>
    <t>0314</t>
  </si>
  <si>
    <t>Другие вопросы в области национальной безопасности 
и правоохранительной деятельности</t>
  </si>
  <si>
    <t>0400</t>
  </si>
  <si>
    <t>НАЦИОНАЛЬНАЯ ЭКОНОМИКА</t>
  </si>
  <si>
    <t>04 09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</si>
  <si>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</si>
  <si>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</si>
  <si>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</si>
  <si>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</si>
  <si>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</si>
  <si>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</si>
  <si>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</si>
  <si>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</si>
  <si>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</si>
  <si>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</si>
  <si>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</si>
  <si>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</si>
  <si>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</si>
  <si>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</si>
  <si>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</si>
  <si>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</si>
  <si>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</si>
  <si>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
 повышение квалификации.</t>
  </si>
  <si>
    <t>0707</t>
  </si>
  <si>
    <t>Молодёжная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</si>
  <si>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</si>
  <si>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</si>
  <si>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</si>
  <si>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</si>
  <si>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</si>
  <si>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0803</t>
  </si>
  <si>
    <t>Телевидение и радиовещание</t>
  </si>
  <si>
    <t>Другие вопросы в области культуры, кинематографии
и средств массовой информации</t>
  </si>
  <si>
    <t>0900</t>
  </si>
  <si>
    <t>0901</t>
  </si>
  <si>
    <t>Стационарная медицинская  помощь</t>
  </si>
  <si>
    <t>0902</t>
  </si>
  <si>
    <t xml:space="preserve">Амбулаторная помощь </t>
  </si>
  <si>
    <t>0903</t>
  </si>
  <si>
    <t>0904</t>
  </si>
  <si>
    <t>Скорая медицинская  помощь</t>
  </si>
  <si>
    <t>0908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</si>
  <si>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</si>
  <si>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</si>
  <si>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</si>
  <si>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</si>
  <si>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</si>
  <si>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</si>
  <si>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</si>
  <si>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</si>
  <si>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</si>
  <si>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</si>
  <si>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, материнства и детства</t>
  </si>
  <si>
    <t>1006</t>
  </si>
  <si>
    <t>Другие вопросы в области социальной политики</t>
  </si>
  <si>
    <t>ВСЕГО РАСХОДОВ</t>
  </si>
  <si>
    <t>Функционирование Правительства Российской Федерации,высших исполнительных органов  госудаственной власти субъектов Российской Федерации, местных администраций</t>
  </si>
  <si>
    <t>ЗДРАВООХРАНЕНИЕ, ФИЗИЧЕСКАЯ 
КУЛЬТУРА   И СПОРТ</t>
  </si>
  <si>
    <t>Результат исполнения бюджета (дефицит "-", профицит "+")</t>
  </si>
  <si>
    <t>Бюджетные кредиты, полученные от других бюджетов
 бюджетной системы Российской Федерации</t>
  </si>
  <si>
    <t>Бюджетные кредиты, полученные от других бюджетов
бюджетной системы Российской Федерации бюджетами
городских округов</t>
  </si>
  <si>
    <t>Бюджетные кредиты, полученные от других бюджетов
 бюджетной системы Российской Федерации
местными бюджетами</t>
  </si>
  <si>
    <t>Кредиты, полученные в валюте Российской Федерации от кредитных организаций</t>
  </si>
  <si>
    <t>I. Налоговые и неналоговые доходы доходы</t>
  </si>
  <si>
    <t>1011</t>
  </si>
  <si>
    <t>1012</t>
  </si>
  <si>
    <t>1013</t>
  </si>
  <si>
    <t>1014</t>
  </si>
  <si>
    <t>1015</t>
  </si>
  <si>
    <t>1016</t>
  </si>
  <si>
    <t>1200</t>
  </si>
  <si>
    <t>1201</t>
  </si>
  <si>
    <t>1300</t>
  </si>
  <si>
    <t>1301</t>
  </si>
  <si>
    <t>0113</t>
  </si>
  <si>
    <t xml:space="preserve">КУЛЬТУРА, КИНЕМАТОГРАФИЯ </t>
  </si>
  <si>
    <t>1100</t>
  </si>
  <si>
    <t>Средства массовой  информации</t>
  </si>
  <si>
    <t>Обслуживание государсвенного и
 муниципального долга</t>
  </si>
  <si>
    <t>0804</t>
  </si>
  <si>
    <t>0909</t>
  </si>
  <si>
    <t>1102</t>
  </si>
  <si>
    <t>1105</t>
  </si>
  <si>
    <t>Массовый спорт</t>
  </si>
  <si>
    <t>Другие вопросы в области физической
 культуры и спорта</t>
  </si>
  <si>
    <t>администрации городского округа Кинешма</t>
  </si>
  <si>
    <t>Медицинская помощь в дневных стационарах
 всех типов</t>
  </si>
  <si>
    <t>Прочие доходы от платных услуг (работ) и компенсации затрат бюджетов городских округов</t>
  </si>
  <si>
    <t>Другие вопросы в области здравоохранения, физической культуры  и спорта</t>
  </si>
  <si>
    <t>Средства от продажи акций и иных форм участия в капитале, находящихся в собственности городских округов</t>
  </si>
  <si>
    <t>0405</t>
  </si>
  <si>
    <t>Сельское хозяйство и рыболовство</t>
  </si>
  <si>
    <t>Другие вопросы в области жилищно - коммунального 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</si>
  <si>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</si>
  <si>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</si>
  <si>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Доходы от продажи земельных участков, находящихся в собвтенности городских округов (за исключением земельных участков муниципальных бюджетных и автономных учреждений)</t>
  </si>
  <si>
    <t>Акцизы по подакцизным товарам (продукции), производимим на территории Российской Федерации</t>
  </si>
  <si>
    <t xml:space="preserve">Прибыль от муниципальных предприятий </t>
  </si>
  <si>
    <t>Штрафы, санкции и возмещение ущерба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</si>
  <si>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</si>
  <si>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ЖИЛИЩНО - КОММУНАЛЬНОЕ
 ХОЗЯЙСТВО</t>
  </si>
  <si>
    <t xml:space="preserve">Отклонение ожидаемого исполнения 
к плану 
</t>
  </si>
  <si>
    <t>Доходы от компенсации затрат государства</t>
  </si>
  <si>
    <t>Налог на имущество физических лиц</t>
  </si>
  <si>
    <t>Земельный налог</t>
  </si>
  <si>
    <t>Доходы от реализации  имущества</t>
  </si>
  <si>
    <t>Доходы от продажи земельных участков</t>
  </si>
  <si>
    <t>Наименование показателя</t>
  </si>
  <si>
    <t xml:space="preserve"> Безвозмездные поступления </t>
  </si>
  <si>
    <t>0600</t>
  </si>
  <si>
    <t>0605</t>
  </si>
  <si>
    <t>ОХРАНА ОКРУЖАЮЩЕЙ СРЕДЫ</t>
  </si>
  <si>
    <t>Другие вопросы в области охраны окружающей среды</t>
  </si>
  <si>
    <t>0703</t>
  </si>
  <si>
    <t>Дополнительное образование детей</t>
  </si>
  <si>
    <t>Начальник финансового управления</t>
  </si>
  <si>
    <t>С.С. Комарова</t>
  </si>
  <si>
    <t>0406</t>
  </si>
  <si>
    <t>Водное хозяйство</t>
  </si>
  <si>
    <t>План
2008 года
(первоначальный)</t>
  </si>
  <si>
    <t>Функционирование высшего должностного лица субъекта РФ и муниципального образования</t>
  </si>
  <si>
    <t>ЕНВД</t>
  </si>
  <si>
    <t>Единый сельскохозяйственный налог</t>
  </si>
  <si>
    <t>Патентная система налогообложения</t>
  </si>
  <si>
    <t>Прочие неналоговые доходы</t>
  </si>
  <si>
    <t xml:space="preserve">ИСТОЧНИКИ ФИНАНСИРОВАНИЯ 
 ДЕФИЦИТА БЮДЖЕТА </t>
  </si>
  <si>
    <t>-</t>
  </si>
  <si>
    <t>Изменение остатков средств бюджетов</t>
  </si>
  <si>
    <t>Оценка ожидаемого исполнения бюджета городского округа Кинешма за 2019 год</t>
  </si>
  <si>
    <t>2018 год
(исполнение)</t>
  </si>
  <si>
    <t>План 
2019 года
(уточненный)
на 01.10.2019</t>
  </si>
  <si>
    <t>на 01.10.2019</t>
  </si>
  <si>
    <t>Ожидаемое
 исполнение
 за 2019 год</t>
  </si>
  <si>
    <t>Предупреждение и ликвидация последствий чрезвычайных ситуаций  природного и техногенного характера,гражданская оборона</t>
  </si>
  <si>
    <t>погашение бюджетных кредитов, полученных от других бюджетов бюджетной системы Российской 
Федерации</t>
  </si>
  <si>
    <t>Бюджетные кредиты, полученные от других бюджетов  бюджетной системы Российской Федерации</t>
  </si>
  <si>
    <t>Увеличение финансовых активов в  собственности  
городских округов за счет  средств автономных и бюджетных учреждений</t>
  </si>
  <si>
    <t>Дотации</t>
  </si>
  <si>
    <t xml:space="preserve">Субсидии </t>
  </si>
  <si>
    <t>Субвенции</t>
  </si>
  <si>
    <t>Иные межбюджетные трансферты и прочие безвозмездные поступления</t>
  </si>
  <si>
    <t>Погашение кредитов, полученных в валюте Российской Федерации от кредитных организаций</t>
  </si>
  <si>
    <t>Получение кредитов в валюте Российской Федерации от кредитных организаций бюджетами городских округов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</si>
</sst>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%"/>
    <numFmt numFmtId="175" formatCode="0.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_ ;[Red]\-#,##0.00\ "/>
    <numFmt numFmtId="183" formatCode="#,##0.00;[Red]#,##0.00"/>
    <numFmt numFmtId="184" formatCode="#,##0.0_ ;[Red]\-#,##0.0\ "/>
    <numFmt numFmtId="185" formatCode="0.0_ ;[Red]\-0.0\ "/>
    <numFmt numFmtId="186" formatCode="#,##0.0_р_.;\-#,##0.0_р_."/>
    <numFmt numFmtId="187" formatCode="_-* #,##0.0\ _₽_-;\-* #,##0.0\ _₽_-;_-* &quot;-&quot;?\ _₽_-;_-@_-"/>
    <numFmt numFmtId="188" formatCode="#,##0.0_ ;\-#,##0.0\ "/>
    <numFmt numFmtId="189" formatCode="0.00_ ;[Red]\-0.00\ "/>
    <numFmt numFmtId="190" formatCode="#,##0.00_ ;\-#,##0.00\ 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5" fontId="2" fillId="0" borderId="10" xfId="58" applyNumberFormat="1" applyFont="1" applyFill="1" applyBorder="1" applyAlignment="1">
      <alignment horizontal="center" vertical="center"/>
    </xf>
    <xf numFmtId="175" fontId="2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72" fontId="2" fillId="0" borderId="13" xfId="58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2" fontId="3" fillId="0" borderId="10" xfId="58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/>
    </xf>
    <xf numFmtId="175" fontId="3" fillId="0" borderId="10" xfId="58" applyNumberFormat="1" applyFont="1" applyFill="1" applyBorder="1" applyAlignment="1">
      <alignment horizontal="left" vertical="center"/>
    </xf>
    <xf numFmtId="175" fontId="3" fillId="0" borderId="10" xfId="58" applyNumberFormat="1" applyFont="1" applyFill="1" applyBorder="1" applyAlignment="1">
      <alignment horizontal="center" vertical="center"/>
    </xf>
    <xf numFmtId="175" fontId="3" fillId="0" borderId="0" xfId="58" applyNumberFormat="1" applyFont="1" applyFill="1" applyBorder="1" applyAlignment="1">
      <alignment horizontal="center" vertical="center"/>
    </xf>
    <xf numFmtId="172" fontId="4" fillId="0" borderId="14" xfId="58" applyNumberFormat="1" applyFont="1" applyFill="1" applyBorder="1" applyAlignment="1">
      <alignment horizontal="center"/>
    </xf>
    <xf numFmtId="172" fontId="4" fillId="0" borderId="15" xfId="58" applyNumberFormat="1" applyFont="1" applyFill="1" applyBorder="1" applyAlignment="1">
      <alignment horizontal="center"/>
    </xf>
    <xf numFmtId="172" fontId="2" fillId="0" borderId="10" xfId="58" applyNumberFormat="1" applyFont="1" applyFill="1" applyBorder="1" applyAlignment="1">
      <alignment horizontal="center"/>
    </xf>
    <xf numFmtId="172" fontId="2" fillId="0" borderId="15" xfId="58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shrinkToFit="1"/>
    </xf>
    <xf numFmtId="172" fontId="2" fillId="0" borderId="16" xfId="58" applyNumberFormat="1" applyFont="1" applyFill="1" applyBorder="1" applyAlignment="1">
      <alignment horizontal="center"/>
    </xf>
    <xf numFmtId="172" fontId="4" fillId="0" borderId="16" xfId="58" applyNumberFormat="1" applyFont="1" applyFill="1" applyBorder="1" applyAlignment="1">
      <alignment horizontal="center"/>
    </xf>
    <xf numFmtId="172" fontId="4" fillId="0" borderId="17" xfId="58" applyNumberFormat="1" applyFont="1" applyFill="1" applyBorder="1" applyAlignment="1">
      <alignment horizontal="center"/>
    </xf>
    <xf numFmtId="172" fontId="3" fillId="0" borderId="13" xfId="58" applyNumberFormat="1" applyFont="1" applyFill="1" applyBorder="1" applyAlignment="1">
      <alignment horizontal="center"/>
    </xf>
    <xf numFmtId="172" fontId="3" fillId="0" borderId="10" xfId="58" applyNumberFormat="1" applyFont="1" applyFill="1" applyBorder="1" applyAlignment="1">
      <alignment horizontal="center"/>
    </xf>
    <xf numFmtId="172" fontId="3" fillId="0" borderId="18" xfId="58" applyNumberFormat="1" applyFont="1" applyFill="1" applyBorder="1" applyAlignment="1">
      <alignment horizontal="center"/>
    </xf>
    <xf numFmtId="188" fontId="3" fillId="0" borderId="10" xfId="58" applyNumberFormat="1" applyFont="1" applyFill="1" applyBorder="1" applyAlignment="1">
      <alignment horizontal="center"/>
    </xf>
    <xf numFmtId="172" fontId="2" fillId="0" borderId="13" xfId="58" applyNumberFormat="1" applyFont="1" applyFill="1" applyBorder="1" applyAlignment="1">
      <alignment horizontal="center"/>
    </xf>
    <xf numFmtId="172" fontId="3" fillId="0" borderId="19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81" fontId="2" fillId="0" borderId="10" xfId="58" applyNumberFormat="1" applyFont="1" applyFill="1" applyBorder="1" applyAlignment="1">
      <alignment horizontal="center"/>
    </xf>
    <xf numFmtId="181" fontId="2" fillId="0" borderId="15" xfId="58" applyNumberFormat="1" applyFont="1" applyFill="1" applyBorder="1" applyAlignment="1">
      <alignment horizontal="center"/>
    </xf>
    <xf numFmtId="181" fontId="3" fillId="0" borderId="10" xfId="58" applyNumberFormat="1" applyFont="1" applyFill="1" applyBorder="1" applyAlignment="1">
      <alignment horizontal="center" shrinkToFit="1"/>
    </xf>
    <xf numFmtId="181" fontId="3" fillId="0" borderId="10" xfId="58" applyNumberFormat="1" applyFont="1" applyFill="1" applyBorder="1" applyAlignment="1">
      <alignment horizontal="center"/>
    </xf>
    <xf numFmtId="181" fontId="3" fillId="0" borderId="15" xfId="58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shrinkToFit="1"/>
    </xf>
    <xf numFmtId="181" fontId="44" fillId="0" borderId="10" xfId="58" applyNumberFormat="1" applyFont="1" applyFill="1" applyBorder="1" applyAlignment="1">
      <alignment horizontal="center"/>
    </xf>
    <xf numFmtId="181" fontId="45" fillId="0" borderId="10" xfId="58" applyNumberFormat="1" applyFont="1" applyFill="1" applyBorder="1" applyAlignment="1">
      <alignment horizontal="center"/>
    </xf>
    <xf numFmtId="181" fontId="46" fillId="0" borderId="10" xfId="58" applyNumberFormat="1" applyFont="1" applyFill="1" applyBorder="1" applyAlignment="1">
      <alignment horizontal="center"/>
    </xf>
    <xf numFmtId="181" fontId="2" fillId="0" borderId="19" xfId="58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3" fillId="0" borderId="19" xfId="58" applyNumberFormat="1" applyFont="1" applyFill="1" applyBorder="1" applyAlignment="1">
      <alignment horizontal="center" vertical="center" wrapText="1"/>
    </xf>
    <xf numFmtId="172" fontId="2" fillId="0" borderId="16" xfId="58" applyNumberFormat="1" applyFont="1" applyFill="1" applyBorder="1" applyAlignment="1">
      <alignment vertical="center"/>
    </xf>
    <xf numFmtId="172" fontId="3" fillId="0" borderId="20" xfId="58" applyNumberFormat="1" applyFont="1" applyFill="1" applyBorder="1" applyAlignment="1">
      <alignment vertical="center"/>
    </xf>
    <xf numFmtId="181" fontId="45" fillId="0" borderId="0" xfId="0" applyNumberFormat="1" applyFont="1" applyFill="1" applyAlignment="1">
      <alignment vertical="center"/>
    </xf>
    <xf numFmtId="172" fontId="4" fillId="0" borderId="16" xfId="58" applyNumberFormat="1" applyFont="1" applyFill="1" applyBorder="1" applyAlignment="1">
      <alignment/>
    </xf>
    <xf numFmtId="172" fontId="4" fillId="0" borderId="21" xfId="58" applyNumberFormat="1" applyFont="1" applyFill="1" applyBorder="1" applyAlignment="1">
      <alignment horizontal="center"/>
    </xf>
    <xf numFmtId="172" fontId="4" fillId="0" borderId="20" xfId="58" applyNumberFormat="1" applyFont="1" applyFill="1" applyBorder="1" applyAlignment="1">
      <alignment/>
    </xf>
    <xf numFmtId="172" fontId="3" fillId="0" borderId="22" xfId="58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3" fillId="0" borderId="14" xfId="58" applyNumberFormat="1" applyFont="1" applyFill="1" applyBorder="1" applyAlignment="1">
      <alignment horizontal="center"/>
    </xf>
    <xf numFmtId="172" fontId="3" fillId="0" borderId="20" xfId="58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72" fontId="4" fillId="0" borderId="23" xfId="58" applyNumberFormat="1" applyFont="1" applyFill="1" applyBorder="1" applyAlignment="1">
      <alignment/>
    </xf>
    <xf numFmtId="188" fontId="3" fillId="0" borderId="14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88" fontId="4" fillId="0" borderId="21" xfId="58" applyNumberFormat="1" applyFont="1" applyFill="1" applyBorder="1" applyAlignment="1">
      <alignment horizontal="center"/>
    </xf>
    <xf numFmtId="172" fontId="2" fillId="0" borderId="20" xfId="58" applyNumberFormat="1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/>
    </xf>
    <xf numFmtId="172" fontId="3" fillId="0" borderId="13" xfId="58" applyNumberFormat="1" applyFont="1" applyFill="1" applyBorder="1" applyAlignment="1">
      <alignment/>
    </xf>
    <xf numFmtId="172" fontId="3" fillId="0" borderId="24" xfId="58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2" fillId="0" borderId="10" xfId="58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2" fontId="2" fillId="0" borderId="16" xfId="58" applyNumberFormat="1" applyFont="1" applyFill="1" applyBorder="1" applyAlignment="1">
      <alignment/>
    </xf>
    <xf numFmtId="172" fontId="2" fillId="0" borderId="21" xfId="58" applyNumberFormat="1" applyFont="1" applyFill="1" applyBorder="1" applyAlignment="1">
      <alignment horizontal="center"/>
    </xf>
    <xf numFmtId="172" fontId="2" fillId="0" borderId="24" xfId="58" applyNumberFormat="1" applyFont="1" applyFill="1" applyBorder="1" applyAlignment="1">
      <alignment horizontal="center" vertical="center"/>
    </xf>
    <xf numFmtId="2" fontId="2" fillId="0" borderId="0" xfId="58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2" fillId="0" borderId="20" xfId="5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81" fontId="45" fillId="0" borderId="15" xfId="58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/>
    </xf>
    <xf numFmtId="171" fontId="2" fillId="0" borderId="20" xfId="58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175" fontId="2" fillId="0" borderId="10" xfId="58" applyNumberFormat="1" applyFont="1" applyFill="1" applyBorder="1" applyAlignment="1">
      <alignment horizontal="left" vertical="center" wrapText="1"/>
    </xf>
    <xf numFmtId="175" fontId="2" fillId="0" borderId="10" xfId="58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75" fontId="3" fillId="0" borderId="10" xfId="58" applyNumberFormat="1" applyFont="1" applyFill="1" applyBorder="1" applyAlignment="1">
      <alignment horizontal="left" vertical="center"/>
    </xf>
    <xf numFmtId="175" fontId="3" fillId="0" borderId="10" xfId="58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2" fontId="3" fillId="0" borderId="40" xfId="58" applyNumberFormat="1" applyFont="1" applyFill="1" applyBorder="1" applyAlignment="1">
      <alignment horizontal="center" vertical="center" wrapText="1"/>
    </xf>
    <xf numFmtId="172" fontId="3" fillId="0" borderId="15" xfId="58" applyNumberFormat="1" applyFont="1" applyFill="1" applyBorder="1" applyAlignment="1">
      <alignment horizontal="center" vertical="center" wrapText="1"/>
    </xf>
    <xf numFmtId="172" fontId="3" fillId="0" borderId="41" xfId="58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K107" sqref="K107"/>
    </sheetView>
  </sheetViews>
  <sheetFormatPr defaultColWidth="9.00390625" defaultRowHeight="12.75"/>
  <cols>
    <col min="1" max="1" width="12.25390625" style="8" customWidth="1"/>
    <col min="2" max="2" width="12.375" style="8" customWidth="1"/>
    <col min="3" max="3" width="9.125" style="8" customWidth="1"/>
    <col min="4" max="4" width="11.375" style="8" customWidth="1"/>
    <col min="5" max="5" width="17.25390625" style="8" customWidth="1"/>
    <col min="6" max="7" width="0.12890625" style="9" hidden="1" customWidth="1"/>
    <col min="8" max="8" width="19.125" style="4" customWidth="1"/>
    <col min="9" max="9" width="19.625" style="4" customWidth="1"/>
    <col min="10" max="10" width="18.25390625" style="4" customWidth="1"/>
    <col min="11" max="11" width="18.625" style="4" customWidth="1"/>
    <col min="12" max="12" width="19.00390625" style="4" customWidth="1"/>
    <col min="13" max="13" width="0.12890625" style="9" customWidth="1"/>
    <col min="14" max="14" width="13.75390625" style="9" bestFit="1" customWidth="1"/>
    <col min="15" max="16384" width="9.125" style="9" customWidth="1"/>
  </cols>
  <sheetData>
    <row r="1" spans="1:12" ht="35.25" customHeight="1">
      <c r="A1" s="141" t="s">
        <v>165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ht="18.75" customHeight="1" hidden="1">
      <c r="A2" s="6"/>
      <c r="B2" s="4"/>
      <c r="C2" s="4"/>
      <c r="D2" s="4"/>
      <c r="E2" s="4"/>
      <c r="F2" s="7"/>
      <c r="G2" s="7"/>
      <c r="M2" s="7"/>
    </row>
    <row r="3" spans="12:13" ht="19.5" thickBot="1">
      <c r="L3" s="4" t="s">
        <v>15</v>
      </c>
      <c r="M3" s="52"/>
    </row>
    <row r="4" spans="1:13" ht="12.75" customHeight="1">
      <c r="A4" s="145" t="s">
        <v>144</v>
      </c>
      <c r="B4" s="146"/>
      <c r="C4" s="146"/>
      <c r="D4" s="146"/>
      <c r="E4" s="146"/>
      <c r="F4" s="147"/>
      <c r="G4" s="142" t="s">
        <v>156</v>
      </c>
      <c r="H4" s="142" t="s">
        <v>166</v>
      </c>
      <c r="I4" s="142" t="s">
        <v>167</v>
      </c>
      <c r="J4" s="142" t="s">
        <v>16</v>
      </c>
      <c r="K4" s="142"/>
      <c r="L4" s="154" t="s">
        <v>138</v>
      </c>
      <c r="M4" s="129" t="s">
        <v>14</v>
      </c>
    </row>
    <row r="5" spans="1:13" s="8" customFormat="1" ht="12.75" customHeight="1">
      <c r="A5" s="148"/>
      <c r="B5" s="149"/>
      <c r="C5" s="149"/>
      <c r="D5" s="149"/>
      <c r="E5" s="149"/>
      <c r="F5" s="150"/>
      <c r="G5" s="143"/>
      <c r="H5" s="143"/>
      <c r="I5" s="143"/>
      <c r="J5" s="143"/>
      <c r="K5" s="143"/>
      <c r="L5" s="155"/>
      <c r="M5" s="129"/>
    </row>
    <row r="6" spans="1:13" s="8" customFormat="1" ht="70.5" customHeight="1" thickBot="1">
      <c r="A6" s="151"/>
      <c r="B6" s="152"/>
      <c r="C6" s="152"/>
      <c r="D6" s="152"/>
      <c r="E6" s="152"/>
      <c r="F6" s="153"/>
      <c r="G6" s="144"/>
      <c r="H6" s="144"/>
      <c r="I6" s="144"/>
      <c r="J6" s="40" t="s">
        <v>168</v>
      </c>
      <c r="K6" s="53" t="s">
        <v>169</v>
      </c>
      <c r="L6" s="156"/>
      <c r="M6" s="129"/>
    </row>
    <row r="7" spans="1:14" s="8" customFormat="1" ht="37.5" customHeight="1" thickBot="1">
      <c r="A7" s="135" t="s">
        <v>0</v>
      </c>
      <c r="B7" s="136"/>
      <c r="C7" s="136"/>
      <c r="D7" s="136"/>
      <c r="E7" s="136"/>
      <c r="F7" s="136"/>
      <c r="G7" s="54"/>
      <c r="H7" s="32">
        <f>H8+H33</f>
        <v>1356636.2999999998</v>
      </c>
      <c r="I7" s="32">
        <f>I8+I33</f>
        <v>1422376.2</v>
      </c>
      <c r="J7" s="32">
        <f>J8+J33</f>
        <v>868624.2</v>
      </c>
      <c r="K7" s="32">
        <f>K8+K33</f>
        <v>1275505.2999999998</v>
      </c>
      <c r="L7" s="32">
        <f>L8+L33</f>
        <v>-146870.90000000002</v>
      </c>
      <c r="M7" s="55"/>
      <c r="N7" s="56"/>
    </row>
    <row r="8" spans="1:13" ht="21.75" customHeight="1" thickBot="1">
      <c r="A8" s="139" t="s">
        <v>100</v>
      </c>
      <c r="B8" s="140"/>
      <c r="C8" s="140"/>
      <c r="D8" s="140"/>
      <c r="E8" s="140"/>
      <c r="F8" s="140"/>
      <c r="G8" s="57">
        <f>G9+G19</f>
        <v>435343.60000000003</v>
      </c>
      <c r="H8" s="33">
        <f>SUM(H9+H19)</f>
        <v>362086.4</v>
      </c>
      <c r="I8" s="33">
        <f>SUM(I9+I19)</f>
        <v>375586.19999999995</v>
      </c>
      <c r="J8" s="33">
        <f>SUM(J9+J19)</f>
        <v>253854.89999999997</v>
      </c>
      <c r="K8" s="33">
        <f>SUM(K9+K19)</f>
        <v>363605.29999999993</v>
      </c>
      <c r="L8" s="58">
        <f>K8-I8</f>
        <v>-11980.900000000023</v>
      </c>
      <c r="M8" s="59">
        <f>L8-I8</f>
        <v>-387567.1</v>
      </c>
    </row>
    <row r="9" spans="1:13" s="61" customFormat="1" ht="21.75" customHeight="1" thickBot="1">
      <c r="A9" s="137" t="s">
        <v>1</v>
      </c>
      <c r="B9" s="138"/>
      <c r="C9" s="138"/>
      <c r="D9" s="138"/>
      <c r="E9" s="138"/>
      <c r="F9" s="138"/>
      <c r="G9" s="34">
        <f>SUM(G10:G18)</f>
        <v>186804.90000000002</v>
      </c>
      <c r="H9" s="34">
        <f>SUM(H10:H18)</f>
        <v>304212.7</v>
      </c>
      <c r="I9" s="34">
        <f>SUM(I10:I18)</f>
        <v>307062.6</v>
      </c>
      <c r="J9" s="34">
        <f>SUM(J10:J18)</f>
        <v>204126.59999999998</v>
      </c>
      <c r="K9" s="34">
        <f>SUM(K10:K18)</f>
        <v>300035.29999999993</v>
      </c>
      <c r="L9" s="60">
        <f>K9-I9</f>
        <v>-7027.300000000047</v>
      </c>
      <c r="M9" s="59">
        <f>L8:L9-I9</f>
        <v>-314089.9</v>
      </c>
    </row>
    <row r="10" spans="1:13" ht="25.5" customHeight="1">
      <c r="A10" s="130" t="s">
        <v>2</v>
      </c>
      <c r="B10" s="131"/>
      <c r="C10" s="131"/>
      <c r="D10" s="131"/>
      <c r="E10" s="131"/>
      <c r="F10" s="131"/>
      <c r="G10" s="35">
        <v>139351</v>
      </c>
      <c r="H10" s="35">
        <v>147175.8</v>
      </c>
      <c r="I10" s="35">
        <v>150200</v>
      </c>
      <c r="J10" s="35">
        <v>105920.6</v>
      </c>
      <c r="K10" s="35">
        <v>152000</v>
      </c>
      <c r="L10" s="62">
        <f>K10-I10</f>
        <v>1800</v>
      </c>
      <c r="M10" s="63">
        <f aca="true" t="shared" si="0" ref="M10:M36">L10-I10</f>
        <v>-148400</v>
      </c>
    </row>
    <row r="11" spans="1:13" ht="35.25" customHeight="1">
      <c r="A11" s="105" t="s">
        <v>133</v>
      </c>
      <c r="B11" s="124"/>
      <c r="C11" s="124"/>
      <c r="D11" s="124"/>
      <c r="E11" s="124"/>
      <c r="F11" s="64"/>
      <c r="G11" s="36"/>
      <c r="H11" s="36">
        <v>6725.7</v>
      </c>
      <c r="I11" s="36">
        <v>7247.6</v>
      </c>
      <c r="J11" s="36">
        <v>5756.9</v>
      </c>
      <c r="K11" s="36">
        <v>7500</v>
      </c>
      <c r="L11" s="62">
        <f aca="true" t="shared" si="1" ref="L11:L18">K11-I11</f>
        <v>252.39999999999964</v>
      </c>
      <c r="M11" s="63"/>
    </row>
    <row r="12" spans="1:13" ht="25.5" customHeight="1">
      <c r="A12" s="132" t="s">
        <v>158</v>
      </c>
      <c r="B12" s="106"/>
      <c r="C12" s="106"/>
      <c r="D12" s="106"/>
      <c r="E12" s="106"/>
      <c r="F12" s="106"/>
      <c r="G12" s="36">
        <v>39815.7</v>
      </c>
      <c r="H12" s="36">
        <v>34488.5</v>
      </c>
      <c r="I12" s="36">
        <v>35050.2</v>
      </c>
      <c r="J12" s="36">
        <v>25026</v>
      </c>
      <c r="K12" s="36">
        <v>32000</v>
      </c>
      <c r="L12" s="62">
        <f t="shared" si="1"/>
        <v>-3050.199999999997</v>
      </c>
      <c r="M12" s="63">
        <f t="shared" si="0"/>
        <v>-38100.399999999994</v>
      </c>
    </row>
    <row r="13" spans="1:13" ht="25.5" customHeight="1">
      <c r="A13" s="165" t="s">
        <v>159</v>
      </c>
      <c r="B13" s="127"/>
      <c r="C13" s="127"/>
      <c r="D13" s="127"/>
      <c r="E13" s="128"/>
      <c r="F13" s="23"/>
      <c r="G13" s="36"/>
      <c r="H13" s="36">
        <v>19</v>
      </c>
      <c r="I13" s="36">
        <v>52.4</v>
      </c>
      <c r="J13" s="36">
        <v>52.8</v>
      </c>
      <c r="K13" s="36">
        <v>52.8</v>
      </c>
      <c r="L13" s="62">
        <f t="shared" si="1"/>
        <v>0.3999999999999986</v>
      </c>
      <c r="M13" s="63"/>
    </row>
    <row r="14" spans="1:13" ht="25.5" customHeight="1">
      <c r="A14" s="165" t="s">
        <v>160</v>
      </c>
      <c r="B14" s="127"/>
      <c r="C14" s="127"/>
      <c r="D14" s="127"/>
      <c r="E14" s="128"/>
      <c r="F14" s="23"/>
      <c r="G14" s="36"/>
      <c r="H14" s="36">
        <v>9120.6</v>
      </c>
      <c r="I14" s="36">
        <v>9782.4</v>
      </c>
      <c r="J14" s="36">
        <v>5547.3</v>
      </c>
      <c r="K14" s="36">
        <v>9782.4</v>
      </c>
      <c r="L14" s="62">
        <f t="shared" si="1"/>
        <v>0</v>
      </c>
      <c r="M14" s="63"/>
    </row>
    <row r="15" spans="1:13" ht="25.5" customHeight="1">
      <c r="A15" s="132" t="s">
        <v>140</v>
      </c>
      <c r="B15" s="106"/>
      <c r="C15" s="106"/>
      <c r="D15" s="106"/>
      <c r="E15" s="106"/>
      <c r="F15" s="106"/>
      <c r="G15" s="36">
        <v>1778.2</v>
      </c>
      <c r="H15" s="36">
        <v>13672.3</v>
      </c>
      <c r="I15" s="36">
        <v>12500</v>
      </c>
      <c r="J15" s="36">
        <v>5526.5</v>
      </c>
      <c r="K15" s="36">
        <v>13000</v>
      </c>
      <c r="L15" s="62">
        <f t="shared" si="1"/>
        <v>500</v>
      </c>
      <c r="M15" s="63">
        <f t="shared" si="0"/>
        <v>-12000</v>
      </c>
    </row>
    <row r="16" spans="1:13" ht="25.5" customHeight="1">
      <c r="A16" s="165" t="s">
        <v>141</v>
      </c>
      <c r="B16" s="127"/>
      <c r="C16" s="127"/>
      <c r="D16" s="127"/>
      <c r="E16" s="128"/>
      <c r="F16" s="23"/>
      <c r="G16" s="36"/>
      <c r="H16" s="36">
        <v>84608.7</v>
      </c>
      <c r="I16" s="36">
        <f>65000+19200</f>
        <v>84200</v>
      </c>
      <c r="J16" s="36">
        <f>44416.2+5928.4</f>
        <v>50344.6</v>
      </c>
      <c r="K16" s="36">
        <v>78000</v>
      </c>
      <c r="L16" s="62">
        <f t="shared" si="1"/>
        <v>-6200</v>
      </c>
      <c r="M16" s="63"/>
    </row>
    <row r="17" spans="1:13" ht="25.5" customHeight="1">
      <c r="A17" s="132" t="s">
        <v>3</v>
      </c>
      <c r="B17" s="106"/>
      <c r="C17" s="106"/>
      <c r="D17" s="106"/>
      <c r="E17" s="106"/>
      <c r="F17" s="106"/>
      <c r="G17" s="36">
        <v>5860</v>
      </c>
      <c r="H17" s="36">
        <v>8384.7</v>
      </c>
      <c r="I17" s="36">
        <v>8030</v>
      </c>
      <c r="J17" s="36">
        <v>5951.8</v>
      </c>
      <c r="K17" s="36">
        <v>7700</v>
      </c>
      <c r="L17" s="62">
        <f t="shared" si="1"/>
        <v>-330</v>
      </c>
      <c r="M17" s="63">
        <f t="shared" si="0"/>
        <v>-8360</v>
      </c>
    </row>
    <row r="18" spans="1:13" ht="29.25" customHeight="1" thickBot="1">
      <c r="A18" s="133" t="s">
        <v>4</v>
      </c>
      <c r="B18" s="134"/>
      <c r="C18" s="134"/>
      <c r="D18" s="134"/>
      <c r="E18" s="134"/>
      <c r="F18" s="134"/>
      <c r="G18" s="37"/>
      <c r="H18" s="37">
        <v>17.4</v>
      </c>
      <c r="I18" s="37">
        <v>0</v>
      </c>
      <c r="J18" s="37">
        <v>0.1</v>
      </c>
      <c r="K18" s="37">
        <v>0.1</v>
      </c>
      <c r="L18" s="62">
        <f t="shared" si="1"/>
        <v>0.1</v>
      </c>
      <c r="M18" s="63">
        <f t="shared" si="0"/>
        <v>0.1</v>
      </c>
    </row>
    <row r="19" spans="1:13" s="61" customFormat="1" ht="21.75" customHeight="1" thickBot="1">
      <c r="A19" s="139" t="s">
        <v>5</v>
      </c>
      <c r="B19" s="140"/>
      <c r="C19" s="140"/>
      <c r="D19" s="140"/>
      <c r="E19" s="140"/>
      <c r="F19" s="140"/>
      <c r="G19" s="33">
        <f aca="true" t="shared" si="2" ref="G19:L19">SUM(G20:G32)</f>
        <v>248538.7</v>
      </c>
      <c r="H19" s="33">
        <f t="shared" si="2"/>
        <v>57873.700000000004</v>
      </c>
      <c r="I19" s="33">
        <f t="shared" si="2"/>
        <v>68523.59999999999</v>
      </c>
      <c r="J19" s="33">
        <f t="shared" si="2"/>
        <v>49728.29999999999</v>
      </c>
      <c r="K19" s="33">
        <f t="shared" si="2"/>
        <v>63570.00000000001</v>
      </c>
      <c r="L19" s="33">
        <f t="shared" si="2"/>
        <v>-4953.5999999999985</v>
      </c>
      <c r="M19" s="65">
        <f t="shared" si="0"/>
        <v>-73477.19999999998</v>
      </c>
    </row>
    <row r="20" spans="1:13" ht="21" customHeight="1">
      <c r="A20" s="130" t="s">
        <v>6</v>
      </c>
      <c r="B20" s="131"/>
      <c r="C20" s="131"/>
      <c r="D20" s="131"/>
      <c r="E20" s="131"/>
      <c r="F20" s="131"/>
      <c r="G20" s="35">
        <v>20400</v>
      </c>
      <c r="H20" s="35">
        <v>24010.7</v>
      </c>
      <c r="I20" s="35">
        <v>27000</v>
      </c>
      <c r="J20" s="35">
        <v>17017.8</v>
      </c>
      <c r="K20" s="35">
        <v>25000</v>
      </c>
      <c r="L20" s="62">
        <f>K20-I20</f>
        <v>-2000</v>
      </c>
      <c r="M20" s="63">
        <f t="shared" si="0"/>
        <v>-29000</v>
      </c>
    </row>
    <row r="21" spans="1:13" ht="21" customHeight="1">
      <c r="A21" s="132" t="s">
        <v>7</v>
      </c>
      <c r="B21" s="106"/>
      <c r="C21" s="106"/>
      <c r="D21" s="106"/>
      <c r="E21" s="106"/>
      <c r="F21" s="106"/>
      <c r="G21" s="36">
        <v>16032.7</v>
      </c>
      <c r="H21" s="36">
        <v>1396.9</v>
      </c>
      <c r="I21" s="36">
        <v>1400</v>
      </c>
      <c r="J21" s="36">
        <v>901.3</v>
      </c>
      <c r="K21" s="36">
        <v>1200</v>
      </c>
      <c r="L21" s="62">
        <f aca="true" t="shared" si="3" ref="L21:L32">K21-I21</f>
        <v>-200</v>
      </c>
      <c r="M21" s="63">
        <f t="shared" si="0"/>
        <v>-1600</v>
      </c>
    </row>
    <row r="22" spans="1:13" ht="29.25" customHeight="1">
      <c r="A22" s="105" t="s">
        <v>134</v>
      </c>
      <c r="B22" s="106"/>
      <c r="C22" s="106"/>
      <c r="D22" s="106"/>
      <c r="E22" s="106"/>
      <c r="F22" s="106"/>
      <c r="G22" s="36">
        <v>4842.8</v>
      </c>
      <c r="H22" s="36">
        <v>3502.2</v>
      </c>
      <c r="I22" s="36">
        <v>4395.3</v>
      </c>
      <c r="J22" s="36">
        <v>4395.3</v>
      </c>
      <c r="K22" s="36">
        <v>4395.3</v>
      </c>
      <c r="L22" s="62">
        <f t="shared" si="3"/>
        <v>0</v>
      </c>
      <c r="M22" s="63">
        <f t="shared" si="0"/>
        <v>-4395.3</v>
      </c>
    </row>
    <row r="23" spans="1:13" ht="36.75" customHeight="1">
      <c r="A23" s="105" t="s">
        <v>13</v>
      </c>
      <c r="B23" s="106"/>
      <c r="C23" s="106"/>
      <c r="D23" s="106"/>
      <c r="E23" s="106"/>
      <c r="F23" s="106"/>
      <c r="G23" s="36">
        <v>1500</v>
      </c>
      <c r="H23" s="36">
        <v>4925.2</v>
      </c>
      <c r="I23" s="36">
        <v>6088.2</v>
      </c>
      <c r="J23" s="36">
        <v>4166</v>
      </c>
      <c r="K23" s="36">
        <v>5400</v>
      </c>
      <c r="L23" s="62">
        <f t="shared" si="3"/>
        <v>-688.1999999999998</v>
      </c>
      <c r="M23" s="63">
        <f t="shared" si="0"/>
        <v>-6776.4</v>
      </c>
    </row>
    <row r="24" spans="1:13" ht="33" customHeight="1">
      <c r="A24" s="105" t="s">
        <v>8</v>
      </c>
      <c r="B24" s="124"/>
      <c r="C24" s="124"/>
      <c r="D24" s="124"/>
      <c r="E24" s="124"/>
      <c r="F24" s="124"/>
      <c r="G24" s="36">
        <v>780</v>
      </c>
      <c r="H24" s="36">
        <v>621.5</v>
      </c>
      <c r="I24" s="36">
        <v>940.8</v>
      </c>
      <c r="J24" s="36">
        <v>684.6</v>
      </c>
      <c r="K24" s="36">
        <v>700</v>
      </c>
      <c r="L24" s="62">
        <f t="shared" si="3"/>
        <v>-240.79999999999995</v>
      </c>
      <c r="M24" s="63">
        <f t="shared" si="0"/>
        <v>-1181.6</v>
      </c>
    </row>
    <row r="25" spans="1:13" ht="35.25" customHeight="1">
      <c r="A25" s="105" t="s">
        <v>124</v>
      </c>
      <c r="B25" s="106"/>
      <c r="C25" s="106"/>
      <c r="D25" s="106"/>
      <c r="E25" s="106"/>
      <c r="F25" s="106"/>
      <c r="G25" s="36">
        <v>48249.2</v>
      </c>
      <c r="H25" s="36">
        <f>2281.3+524.2</f>
        <v>2805.5</v>
      </c>
      <c r="I25" s="36">
        <v>2550.6</v>
      </c>
      <c r="J25" s="36">
        <v>1899.9</v>
      </c>
      <c r="K25" s="36">
        <v>2510.3</v>
      </c>
      <c r="L25" s="62">
        <f t="shared" si="3"/>
        <v>-40.29999999999973</v>
      </c>
      <c r="M25" s="63">
        <f t="shared" si="0"/>
        <v>-2590.8999999999996</v>
      </c>
    </row>
    <row r="26" spans="1:13" ht="18.75" customHeight="1" hidden="1">
      <c r="A26" s="105" t="s">
        <v>139</v>
      </c>
      <c r="B26" s="124"/>
      <c r="C26" s="124"/>
      <c r="D26" s="124"/>
      <c r="E26" s="124"/>
      <c r="F26" s="64"/>
      <c r="G26" s="36"/>
      <c r="H26" s="36"/>
      <c r="I26" s="36"/>
      <c r="J26" s="36"/>
      <c r="K26" s="36"/>
      <c r="L26" s="62">
        <f t="shared" si="3"/>
        <v>0</v>
      </c>
      <c r="M26" s="63">
        <f t="shared" si="0"/>
        <v>0</v>
      </c>
    </row>
    <row r="27" spans="1:13" ht="18.75" customHeight="1" hidden="1">
      <c r="A27" s="132" t="s">
        <v>12</v>
      </c>
      <c r="B27" s="106"/>
      <c r="C27" s="106"/>
      <c r="D27" s="106"/>
      <c r="E27" s="106"/>
      <c r="F27" s="106"/>
      <c r="G27" s="36">
        <v>200</v>
      </c>
      <c r="H27" s="36"/>
      <c r="I27" s="36"/>
      <c r="J27" s="36"/>
      <c r="K27" s="36"/>
      <c r="L27" s="62">
        <f t="shared" si="3"/>
        <v>0</v>
      </c>
      <c r="M27" s="63">
        <f>L27-I27</f>
        <v>0</v>
      </c>
    </row>
    <row r="28" spans="1:13" ht="24" customHeight="1">
      <c r="A28" s="105" t="s">
        <v>142</v>
      </c>
      <c r="B28" s="106"/>
      <c r="C28" s="106"/>
      <c r="D28" s="106"/>
      <c r="E28" s="106"/>
      <c r="F28" s="106"/>
      <c r="G28" s="36">
        <v>151200</v>
      </c>
      <c r="H28" s="36">
        <v>3039</v>
      </c>
      <c r="I28" s="36">
        <v>10366.3</v>
      </c>
      <c r="J28" s="36">
        <v>5199</v>
      </c>
      <c r="K28" s="36">
        <v>6057.4</v>
      </c>
      <c r="L28" s="62">
        <f t="shared" si="3"/>
        <v>-4308.9</v>
      </c>
      <c r="M28" s="63">
        <f t="shared" si="0"/>
        <v>-14675.199999999999</v>
      </c>
    </row>
    <row r="29" spans="1:13" ht="22.5" customHeight="1">
      <c r="A29" s="105" t="s">
        <v>143</v>
      </c>
      <c r="B29" s="124"/>
      <c r="C29" s="124"/>
      <c r="D29" s="124"/>
      <c r="E29" s="124"/>
      <c r="F29" s="124"/>
      <c r="G29" s="36">
        <v>2400</v>
      </c>
      <c r="H29" s="36">
        <v>5732.4</v>
      </c>
      <c r="I29" s="36">
        <v>7179.8</v>
      </c>
      <c r="J29" s="36">
        <v>7851.6</v>
      </c>
      <c r="K29" s="36">
        <v>8000</v>
      </c>
      <c r="L29" s="62">
        <f t="shared" si="3"/>
        <v>820.1999999999998</v>
      </c>
      <c r="M29" s="63">
        <f t="shared" si="0"/>
        <v>-6359.6</v>
      </c>
    </row>
    <row r="30" spans="1:13" ht="18.75" customHeight="1" hidden="1">
      <c r="A30" s="105" t="s">
        <v>132</v>
      </c>
      <c r="B30" s="124"/>
      <c r="C30" s="124"/>
      <c r="D30" s="124"/>
      <c r="E30" s="124"/>
      <c r="F30" s="67"/>
      <c r="G30" s="36"/>
      <c r="H30" s="36"/>
      <c r="I30" s="36"/>
      <c r="J30" s="36"/>
      <c r="K30" s="36"/>
      <c r="L30" s="62">
        <f t="shared" si="3"/>
        <v>0</v>
      </c>
      <c r="M30" s="63">
        <f t="shared" si="0"/>
        <v>0</v>
      </c>
    </row>
    <row r="31" spans="1:13" ht="23.25" customHeight="1">
      <c r="A31" s="105" t="s">
        <v>135</v>
      </c>
      <c r="B31" s="106"/>
      <c r="C31" s="106"/>
      <c r="D31" s="106"/>
      <c r="E31" s="106"/>
      <c r="F31" s="106"/>
      <c r="G31" s="36">
        <v>2884</v>
      </c>
      <c r="H31" s="36">
        <v>5407.4</v>
      </c>
      <c r="I31" s="36">
        <v>4528.2</v>
      </c>
      <c r="J31" s="36">
        <v>3454.2</v>
      </c>
      <c r="K31" s="36">
        <v>5207</v>
      </c>
      <c r="L31" s="62">
        <f t="shared" si="3"/>
        <v>678.8000000000002</v>
      </c>
      <c r="M31" s="63">
        <f t="shared" si="0"/>
        <v>-3849.3999999999996</v>
      </c>
    </row>
    <row r="32" spans="1:13" ht="21" customHeight="1" thickBot="1">
      <c r="A32" s="132" t="s">
        <v>161</v>
      </c>
      <c r="B32" s="106"/>
      <c r="C32" s="106"/>
      <c r="D32" s="106"/>
      <c r="E32" s="106"/>
      <c r="F32" s="106"/>
      <c r="G32" s="36">
        <v>50</v>
      </c>
      <c r="H32" s="36">
        <v>6432.9</v>
      </c>
      <c r="I32" s="36">
        <v>4074.4</v>
      </c>
      <c r="J32" s="36">
        <v>4158.6</v>
      </c>
      <c r="K32" s="36">
        <v>5100</v>
      </c>
      <c r="L32" s="62">
        <f t="shared" si="3"/>
        <v>1025.6</v>
      </c>
      <c r="M32" s="63">
        <f t="shared" si="0"/>
        <v>-3048.8</v>
      </c>
    </row>
    <row r="33" spans="1:15" s="70" customFormat="1" ht="25.5" customHeight="1" thickBot="1">
      <c r="A33" s="159" t="s">
        <v>145</v>
      </c>
      <c r="B33" s="160"/>
      <c r="C33" s="160"/>
      <c r="D33" s="160"/>
      <c r="E33" s="160"/>
      <c r="F33" s="161"/>
      <c r="G33" s="57">
        <v>392055.2</v>
      </c>
      <c r="H33" s="33">
        <f>SUM(H34:H38)</f>
        <v>994549.8999999999</v>
      </c>
      <c r="I33" s="33">
        <f>SUM(I34:I38)</f>
        <v>1046790</v>
      </c>
      <c r="J33" s="33">
        <f>SUM(J34:J38)</f>
        <v>614769.3</v>
      </c>
      <c r="K33" s="33">
        <f>SUM(K34:K38)</f>
        <v>911900</v>
      </c>
      <c r="L33" s="68">
        <f aca="true" t="shared" si="4" ref="L33:L38">K33-I33</f>
        <v>-134890</v>
      </c>
      <c r="M33" s="69">
        <f t="shared" si="0"/>
        <v>-1181680</v>
      </c>
      <c r="O33" s="71"/>
    </row>
    <row r="34" spans="1:15" s="52" customFormat="1" ht="27.75" customHeight="1">
      <c r="A34" s="166" t="s">
        <v>174</v>
      </c>
      <c r="B34" s="167"/>
      <c r="C34" s="167"/>
      <c r="D34" s="167"/>
      <c r="E34" s="167"/>
      <c r="F34" s="72"/>
      <c r="G34" s="73"/>
      <c r="H34" s="35">
        <v>340135.5</v>
      </c>
      <c r="I34" s="35">
        <v>324422.8</v>
      </c>
      <c r="J34" s="35">
        <v>243110.5</v>
      </c>
      <c r="K34" s="35">
        <v>324422.8</v>
      </c>
      <c r="L34" s="66">
        <f t="shared" si="4"/>
        <v>0</v>
      </c>
      <c r="M34" s="74"/>
      <c r="O34" s="75"/>
    </row>
    <row r="35" spans="1:15" s="52" customFormat="1" ht="30.75" customHeight="1">
      <c r="A35" s="105" t="s">
        <v>175</v>
      </c>
      <c r="B35" s="124"/>
      <c r="C35" s="124"/>
      <c r="D35" s="124"/>
      <c r="E35" s="124"/>
      <c r="F35" s="64"/>
      <c r="G35" s="18"/>
      <c r="H35" s="36">
        <v>206089.2</v>
      </c>
      <c r="I35" s="36">
        <f>79830.8+37534.2+71036.8</f>
        <v>188401.8</v>
      </c>
      <c r="J35" s="36">
        <v>42192</v>
      </c>
      <c r="K35" s="36">
        <f>I35-21330-28560</f>
        <v>138511.8</v>
      </c>
      <c r="L35" s="66">
        <f t="shared" si="4"/>
        <v>-49890</v>
      </c>
      <c r="M35" s="74"/>
      <c r="O35" s="75"/>
    </row>
    <row r="36" spans="1:13" s="52" customFormat="1" ht="24.75" customHeight="1">
      <c r="A36" s="105" t="s">
        <v>176</v>
      </c>
      <c r="B36" s="124"/>
      <c r="C36" s="124"/>
      <c r="D36" s="124"/>
      <c r="E36" s="124"/>
      <c r="F36" s="124"/>
      <c r="G36" s="76"/>
      <c r="H36" s="36">
        <v>422114.1</v>
      </c>
      <c r="I36" s="36">
        <f>8618.5+4310+435469.8</f>
        <v>448398.3</v>
      </c>
      <c r="J36" s="36">
        <v>329025.7</v>
      </c>
      <c r="K36" s="36">
        <v>448398.3</v>
      </c>
      <c r="L36" s="66">
        <f t="shared" si="4"/>
        <v>0</v>
      </c>
      <c r="M36" s="77">
        <f t="shared" si="0"/>
        <v>-448398.3</v>
      </c>
    </row>
    <row r="37" spans="1:13" s="52" customFormat="1" ht="32.25" customHeight="1">
      <c r="A37" s="105" t="s">
        <v>177</v>
      </c>
      <c r="B37" s="124"/>
      <c r="C37" s="124"/>
      <c r="D37" s="124"/>
      <c r="E37" s="124"/>
      <c r="F37" s="67"/>
      <c r="G37" s="76"/>
      <c r="H37" s="36">
        <v>26446.6</v>
      </c>
      <c r="I37" s="38">
        <f>85000+1504.8+105</f>
        <v>86609.8</v>
      </c>
      <c r="J37" s="38">
        <v>1483.8</v>
      </c>
      <c r="K37" s="38">
        <f>I37-85000</f>
        <v>1609.800000000003</v>
      </c>
      <c r="L37" s="66">
        <f t="shared" si="4"/>
        <v>-85000</v>
      </c>
      <c r="M37" s="78"/>
    </row>
    <row r="38" spans="1:13" ht="46.5" customHeight="1" thickBot="1">
      <c r="A38" s="133" t="s">
        <v>17</v>
      </c>
      <c r="B38" s="162"/>
      <c r="C38" s="162"/>
      <c r="D38" s="162"/>
      <c r="E38" s="162"/>
      <c r="F38" s="162"/>
      <c r="G38" s="37">
        <v>50</v>
      </c>
      <c r="H38" s="37">
        <v>-235.5</v>
      </c>
      <c r="I38" s="37">
        <v>-1042.7</v>
      </c>
      <c r="J38" s="37">
        <v>-1042.7</v>
      </c>
      <c r="K38" s="37">
        <v>-1042.7</v>
      </c>
      <c r="L38" s="66">
        <f t="shared" si="4"/>
        <v>0</v>
      </c>
      <c r="M38" s="63">
        <f>L38-I38</f>
        <v>1042.7</v>
      </c>
    </row>
    <row r="39" spans="1:13" s="61" customFormat="1" ht="39" customHeight="1" thickBot="1">
      <c r="A39" s="157" t="s">
        <v>9</v>
      </c>
      <c r="B39" s="158"/>
      <c r="C39" s="158"/>
      <c r="D39" s="158"/>
      <c r="E39" s="158"/>
      <c r="F39" s="79"/>
      <c r="G39" s="80">
        <f>G9+G19+G33+G36</f>
        <v>827398.8</v>
      </c>
      <c r="H39" s="32">
        <f>H33+H8</f>
        <v>1356636.2999999998</v>
      </c>
      <c r="I39" s="32">
        <f>I33+I8</f>
        <v>1422376.2</v>
      </c>
      <c r="J39" s="32">
        <f>J33+J8</f>
        <v>868624.2</v>
      </c>
      <c r="K39" s="32">
        <f>K33+K8</f>
        <v>1275505.2999999998</v>
      </c>
      <c r="L39" s="81">
        <f>L33+L8-L38</f>
        <v>-146870.90000000002</v>
      </c>
      <c r="M39" s="82">
        <f>M33+M8</f>
        <v>-1569247.1</v>
      </c>
    </row>
    <row r="40" spans="1:12" ht="19.5" customHeight="1" hidden="1">
      <c r="A40" s="10" t="s">
        <v>10</v>
      </c>
      <c r="B40" s="11"/>
      <c r="C40" s="11"/>
      <c r="D40" s="11"/>
      <c r="E40" s="11"/>
      <c r="F40" s="12"/>
      <c r="G40" s="13"/>
      <c r="H40" s="39"/>
      <c r="I40" s="39"/>
      <c r="J40" s="39"/>
      <c r="K40" s="39"/>
      <c r="L40" s="27">
        <f>K40-I40</f>
        <v>0</v>
      </c>
    </row>
    <row r="41" spans="1:12" ht="19.5" customHeight="1" hidden="1">
      <c r="A41" s="14"/>
      <c r="B41" s="15"/>
      <c r="C41" s="15"/>
      <c r="D41" s="15"/>
      <c r="E41" s="15"/>
      <c r="F41" s="16"/>
      <c r="G41" s="17" t="s">
        <v>11</v>
      </c>
      <c r="H41" s="17"/>
      <c r="I41" s="17"/>
      <c r="J41" s="41"/>
      <c r="K41" s="41"/>
      <c r="L41" s="28">
        <f>K41-I41</f>
        <v>0</v>
      </c>
    </row>
    <row r="42" spans="1:12" ht="19.5" hidden="1">
      <c r="A42" s="14"/>
      <c r="B42" s="15"/>
      <c r="C42" s="15"/>
      <c r="D42" s="15"/>
      <c r="E42" s="15"/>
      <c r="F42" s="16"/>
      <c r="G42" s="18"/>
      <c r="H42" s="36"/>
      <c r="I42" s="36"/>
      <c r="J42" s="36"/>
      <c r="K42" s="36"/>
      <c r="L42" s="28">
        <f>K42-I42</f>
        <v>0</v>
      </c>
    </row>
    <row r="43" spans="1:12" ht="33.75" customHeight="1">
      <c r="A43" s="163" t="s">
        <v>10</v>
      </c>
      <c r="B43" s="164"/>
      <c r="C43" s="164"/>
      <c r="D43" s="164"/>
      <c r="E43" s="164"/>
      <c r="F43" s="164"/>
      <c r="G43" s="19"/>
      <c r="H43" s="29"/>
      <c r="I43" s="29"/>
      <c r="J43" s="29"/>
      <c r="K43" s="29"/>
      <c r="L43" s="30"/>
    </row>
    <row r="44" spans="1:12" ht="41.25" customHeight="1">
      <c r="A44" s="5" t="s">
        <v>18</v>
      </c>
      <c r="B44" s="121" t="s">
        <v>19</v>
      </c>
      <c r="C44" s="121"/>
      <c r="D44" s="121"/>
      <c r="E44" s="121"/>
      <c r="F44" s="20"/>
      <c r="G44" s="19"/>
      <c r="H44" s="42">
        <f>H45+H46+H47+H48+H49+H51+H52</f>
        <v>86489.8</v>
      </c>
      <c r="I44" s="42">
        <f>I45+I46+I47+I48+I49+I51+I52+I50</f>
        <v>102491.7</v>
      </c>
      <c r="J44" s="42">
        <f>J45+J46+J47+J48+J49+J51+J52+J50</f>
        <v>71393.3</v>
      </c>
      <c r="K44" s="42">
        <f>K45+K46+K47+K48+K49+K51+K52+K50</f>
        <v>99970.2</v>
      </c>
      <c r="L44" s="43">
        <f>L45+L46+L47+L48+L49+L51+L52+L50</f>
        <v>-2521.5</v>
      </c>
    </row>
    <row r="45" spans="1:14" ht="69.75" customHeight="1">
      <c r="A45" s="21" t="s">
        <v>20</v>
      </c>
      <c r="B45" s="94" t="s">
        <v>157</v>
      </c>
      <c r="C45" s="94"/>
      <c r="D45" s="94"/>
      <c r="E45" s="94"/>
      <c r="F45" s="20"/>
      <c r="G45" s="19"/>
      <c r="H45" s="44">
        <v>1377.6</v>
      </c>
      <c r="I45" s="44">
        <v>1379.9</v>
      </c>
      <c r="J45" s="45">
        <v>994.9</v>
      </c>
      <c r="K45" s="44">
        <v>1379.9</v>
      </c>
      <c r="L45" s="43">
        <f aca="true" t="shared" si="5" ref="L45:L52">K45-I45</f>
        <v>0</v>
      </c>
      <c r="N45" s="9">
        <f aca="true" t="shared" si="6" ref="N45:N74">SUM(K45/I45*100)</f>
        <v>100</v>
      </c>
    </row>
    <row r="46" spans="1:14" ht="107.25" customHeight="1">
      <c r="A46" s="21" t="s">
        <v>21</v>
      </c>
      <c r="B46" s="94" t="s">
        <v>130</v>
      </c>
      <c r="C46" s="94"/>
      <c r="D46" s="94"/>
      <c r="E46" s="94"/>
      <c r="F46" s="20"/>
      <c r="G46" s="19"/>
      <c r="H46" s="44">
        <v>7230</v>
      </c>
      <c r="I46" s="44">
        <v>7847.6</v>
      </c>
      <c r="J46" s="45">
        <v>5249.6</v>
      </c>
      <c r="K46" s="44">
        <v>7847.6</v>
      </c>
      <c r="L46" s="43">
        <f t="shared" si="5"/>
        <v>0</v>
      </c>
      <c r="N46" s="9">
        <f t="shared" si="6"/>
        <v>100</v>
      </c>
    </row>
    <row r="47" spans="1:14" ht="108.75" customHeight="1">
      <c r="A47" s="21" t="s">
        <v>22</v>
      </c>
      <c r="B47" s="94" t="s">
        <v>93</v>
      </c>
      <c r="C47" s="94"/>
      <c r="D47" s="94"/>
      <c r="E47" s="94"/>
      <c r="F47" s="20"/>
      <c r="G47" s="19"/>
      <c r="H47" s="44">
        <v>32753.7</v>
      </c>
      <c r="I47" s="44">
        <v>41521.5</v>
      </c>
      <c r="J47" s="45">
        <v>28583.7</v>
      </c>
      <c r="K47" s="44">
        <v>39000</v>
      </c>
      <c r="L47" s="43">
        <f t="shared" si="5"/>
        <v>-2521.5</v>
      </c>
      <c r="N47" s="9">
        <f t="shared" si="6"/>
        <v>93.927242512915</v>
      </c>
    </row>
    <row r="48" spans="1:14" ht="27" customHeight="1">
      <c r="A48" s="21" t="s">
        <v>23</v>
      </c>
      <c r="B48" s="94" t="s">
        <v>24</v>
      </c>
      <c r="C48" s="94"/>
      <c r="D48" s="94"/>
      <c r="E48" s="94"/>
      <c r="F48" s="20"/>
      <c r="G48" s="19"/>
      <c r="H48" s="44">
        <v>123.9</v>
      </c>
      <c r="I48" s="44">
        <v>16.1</v>
      </c>
      <c r="J48" s="45">
        <v>0.8</v>
      </c>
      <c r="K48" s="44">
        <v>16.1</v>
      </c>
      <c r="L48" s="43">
        <f t="shared" si="5"/>
        <v>0</v>
      </c>
      <c r="N48" s="9">
        <f t="shared" si="6"/>
        <v>100</v>
      </c>
    </row>
    <row r="49" spans="1:14" ht="54.75" customHeight="1">
      <c r="A49" s="21" t="s">
        <v>25</v>
      </c>
      <c r="B49" s="94" t="s">
        <v>136</v>
      </c>
      <c r="C49" s="94"/>
      <c r="D49" s="94"/>
      <c r="E49" s="94"/>
      <c r="F49" s="20"/>
      <c r="G49" s="19"/>
      <c r="H49" s="44">
        <v>9764.4</v>
      </c>
      <c r="I49" s="44">
        <v>9563.4</v>
      </c>
      <c r="J49" s="45">
        <v>6714.1</v>
      </c>
      <c r="K49" s="44">
        <v>9563.4</v>
      </c>
      <c r="L49" s="43">
        <f t="shared" si="5"/>
        <v>0</v>
      </c>
      <c r="N49" s="9">
        <f t="shared" si="6"/>
        <v>100</v>
      </c>
    </row>
    <row r="50" spans="1:14" ht="18.75" customHeight="1" hidden="1">
      <c r="A50" s="21" t="s">
        <v>26</v>
      </c>
      <c r="B50" s="94" t="s">
        <v>27</v>
      </c>
      <c r="C50" s="94"/>
      <c r="D50" s="94"/>
      <c r="E50" s="94"/>
      <c r="F50" s="20"/>
      <c r="G50" s="19"/>
      <c r="H50" s="44"/>
      <c r="I50" s="44"/>
      <c r="J50" s="45"/>
      <c r="K50" s="44"/>
      <c r="L50" s="43">
        <f t="shared" si="5"/>
        <v>0</v>
      </c>
      <c r="N50" s="9" t="e">
        <f t="shared" si="6"/>
        <v>#DIV/0!</v>
      </c>
    </row>
    <row r="51" spans="1:14" ht="18" customHeight="1">
      <c r="A51" s="21" t="s">
        <v>28</v>
      </c>
      <c r="B51" s="94" t="s">
        <v>30</v>
      </c>
      <c r="C51" s="94"/>
      <c r="D51" s="94"/>
      <c r="E51" s="94"/>
      <c r="F51" s="20"/>
      <c r="G51" s="19"/>
      <c r="H51" s="45">
        <v>0</v>
      </c>
      <c r="I51" s="45">
        <v>288.7</v>
      </c>
      <c r="J51" s="45">
        <v>0</v>
      </c>
      <c r="K51" s="45">
        <v>288.7</v>
      </c>
      <c r="L51" s="46">
        <f t="shared" si="5"/>
        <v>0</v>
      </c>
      <c r="N51" s="9">
        <f t="shared" si="6"/>
        <v>100</v>
      </c>
    </row>
    <row r="52" spans="1:14" ht="26.25" customHeight="1">
      <c r="A52" s="21" t="s">
        <v>111</v>
      </c>
      <c r="B52" s="108" t="s">
        <v>31</v>
      </c>
      <c r="C52" s="108"/>
      <c r="D52" s="108"/>
      <c r="E52" s="108"/>
      <c r="F52" s="20"/>
      <c r="G52" s="19"/>
      <c r="H52" s="44">
        <v>35240.2</v>
      </c>
      <c r="I52" s="44">
        <v>41874.5</v>
      </c>
      <c r="J52" s="45">
        <v>29850.2</v>
      </c>
      <c r="K52" s="44">
        <v>41874.5</v>
      </c>
      <c r="L52" s="43">
        <f t="shared" si="5"/>
        <v>0</v>
      </c>
      <c r="N52" s="9">
        <f t="shared" si="6"/>
        <v>100</v>
      </c>
    </row>
    <row r="53" spans="1:14" ht="65.25" customHeight="1">
      <c r="A53" s="5" t="s">
        <v>32</v>
      </c>
      <c r="B53" s="125" t="s">
        <v>33</v>
      </c>
      <c r="C53" s="125"/>
      <c r="D53" s="125"/>
      <c r="E53" s="125"/>
      <c r="F53" s="20"/>
      <c r="G53" s="19"/>
      <c r="H53" s="42">
        <f>SUM(H54:H56)</f>
        <v>18780.9</v>
      </c>
      <c r="I53" s="42">
        <f>SUM(I54:I56)</f>
        <v>17133.6</v>
      </c>
      <c r="J53" s="42">
        <f>SUM(J54:J56)</f>
        <v>12559.1</v>
      </c>
      <c r="K53" s="42">
        <f>SUM(K54:K55)</f>
        <v>16745.5</v>
      </c>
      <c r="L53" s="43">
        <f aca="true" t="shared" si="7" ref="L53:L97">K53-I53</f>
        <v>-388.09999999999854</v>
      </c>
      <c r="N53" s="9">
        <f t="shared" si="6"/>
        <v>97.73486015781856</v>
      </c>
    </row>
    <row r="54" spans="1:14" ht="18.75" customHeight="1" hidden="1">
      <c r="A54" s="21" t="s">
        <v>34</v>
      </c>
      <c r="B54" s="108" t="s">
        <v>35</v>
      </c>
      <c r="C54" s="108"/>
      <c r="D54" s="108"/>
      <c r="E54" s="108"/>
      <c r="F54" s="20"/>
      <c r="G54" s="19"/>
      <c r="H54" s="45"/>
      <c r="I54" s="45"/>
      <c r="J54" s="45"/>
      <c r="K54" s="45"/>
      <c r="L54" s="43">
        <f t="shared" si="7"/>
        <v>0</v>
      </c>
      <c r="N54" s="9" t="e">
        <f t="shared" si="6"/>
        <v>#DIV/0!</v>
      </c>
    </row>
    <row r="55" spans="1:14" ht="90.75" customHeight="1">
      <c r="A55" s="21" t="s">
        <v>36</v>
      </c>
      <c r="B55" s="94" t="s">
        <v>170</v>
      </c>
      <c r="C55" s="94"/>
      <c r="D55" s="94"/>
      <c r="E55" s="94"/>
      <c r="F55" s="20"/>
      <c r="G55" s="19"/>
      <c r="H55" s="44">
        <v>18780.9</v>
      </c>
      <c r="I55" s="44">
        <v>17133.6</v>
      </c>
      <c r="J55" s="45">
        <v>12559.1</v>
      </c>
      <c r="K55" s="45">
        <v>16745.5</v>
      </c>
      <c r="L55" s="43">
        <f t="shared" si="7"/>
        <v>-388.09999999999854</v>
      </c>
      <c r="N55" s="9">
        <f t="shared" si="6"/>
        <v>97.73486015781856</v>
      </c>
    </row>
    <row r="56" spans="1:14" ht="18.75" customHeight="1" hidden="1">
      <c r="A56" s="21" t="s">
        <v>37</v>
      </c>
      <c r="B56" s="94" t="s">
        <v>38</v>
      </c>
      <c r="C56" s="94"/>
      <c r="D56" s="94"/>
      <c r="E56" s="94"/>
      <c r="F56" s="20"/>
      <c r="G56" s="19"/>
      <c r="H56" s="45"/>
      <c r="I56" s="42"/>
      <c r="J56" s="42"/>
      <c r="K56" s="42"/>
      <c r="L56" s="43">
        <f t="shared" si="7"/>
        <v>0</v>
      </c>
      <c r="N56" s="9" t="e">
        <f t="shared" si="6"/>
        <v>#DIV/0!</v>
      </c>
    </row>
    <row r="57" spans="1:14" ht="24.75" customHeight="1">
      <c r="A57" s="5" t="s">
        <v>39</v>
      </c>
      <c r="B57" s="121" t="s">
        <v>40</v>
      </c>
      <c r="C57" s="121"/>
      <c r="D57" s="121"/>
      <c r="E57" s="121"/>
      <c r="F57" s="20"/>
      <c r="G57" s="19"/>
      <c r="H57" s="42">
        <f>SUM(H58:H61)</f>
        <v>142412.7</v>
      </c>
      <c r="I57" s="42">
        <f>SUM(I58:I61)</f>
        <v>136529.7</v>
      </c>
      <c r="J57" s="42">
        <f>SUM(J58:J61)</f>
        <v>60990.299999999996</v>
      </c>
      <c r="K57" s="42">
        <f>SUM(K58:K61)</f>
        <v>130641.3</v>
      </c>
      <c r="L57" s="43">
        <f>SUM(L58:L61)</f>
        <v>-5888.400000000009</v>
      </c>
      <c r="N57" s="9">
        <f t="shared" si="6"/>
        <v>95.68709225904692</v>
      </c>
    </row>
    <row r="58" spans="1:14" ht="27" customHeight="1">
      <c r="A58" s="21" t="s">
        <v>127</v>
      </c>
      <c r="B58" s="108" t="s">
        <v>128</v>
      </c>
      <c r="C58" s="108"/>
      <c r="D58" s="108"/>
      <c r="E58" s="108"/>
      <c r="F58" s="20"/>
      <c r="G58" s="19"/>
      <c r="H58" s="45">
        <v>127.5</v>
      </c>
      <c r="I58" s="45">
        <v>199.5</v>
      </c>
      <c r="J58" s="45">
        <v>199.5</v>
      </c>
      <c r="K58" s="45">
        <v>199.5</v>
      </c>
      <c r="L58" s="43">
        <f t="shared" si="7"/>
        <v>0</v>
      </c>
      <c r="N58" s="9">
        <f t="shared" si="6"/>
        <v>100</v>
      </c>
    </row>
    <row r="59" spans="1:14" ht="27" customHeight="1">
      <c r="A59" s="21" t="s">
        <v>154</v>
      </c>
      <c r="B59" s="126" t="s">
        <v>155</v>
      </c>
      <c r="C59" s="127"/>
      <c r="D59" s="127"/>
      <c r="E59" s="128"/>
      <c r="F59" s="20"/>
      <c r="G59" s="19"/>
      <c r="H59" s="45">
        <v>8448.5</v>
      </c>
      <c r="I59" s="45">
        <v>8934.1</v>
      </c>
      <c r="J59" s="45">
        <v>6225.5</v>
      </c>
      <c r="K59" s="45">
        <v>8934.1</v>
      </c>
      <c r="L59" s="43">
        <f t="shared" si="7"/>
        <v>0</v>
      </c>
      <c r="N59" s="9">
        <f t="shared" si="6"/>
        <v>100</v>
      </c>
    </row>
    <row r="60" spans="1:14" ht="31.5" customHeight="1">
      <c r="A60" s="21" t="s">
        <v>41</v>
      </c>
      <c r="B60" s="108" t="s">
        <v>131</v>
      </c>
      <c r="C60" s="108"/>
      <c r="D60" s="108"/>
      <c r="E60" s="108"/>
      <c r="F60" s="20"/>
      <c r="G60" s="19"/>
      <c r="H60" s="44">
        <v>132723</v>
      </c>
      <c r="I60" s="44">
        <v>127096.1</v>
      </c>
      <c r="J60" s="45">
        <v>54340.6</v>
      </c>
      <c r="K60" s="45">
        <f>123207.7-2000</f>
        <v>121207.7</v>
      </c>
      <c r="L60" s="43">
        <f t="shared" si="7"/>
        <v>-5888.400000000009</v>
      </c>
      <c r="N60" s="9">
        <f t="shared" si="6"/>
        <v>95.36697034763458</v>
      </c>
    </row>
    <row r="61" spans="1:14" ht="42.75" customHeight="1">
      <c r="A61" s="21" t="s">
        <v>42</v>
      </c>
      <c r="B61" s="94" t="s">
        <v>43</v>
      </c>
      <c r="C61" s="108"/>
      <c r="D61" s="108"/>
      <c r="E61" s="108"/>
      <c r="F61" s="20"/>
      <c r="G61" s="19"/>
      <c r="H61" s="44">
        <v>1113.7</v>
      </c>
      <c r="I61" s="44">
        <v>300</v>
      </c>
      <c r="J61" s="45">
        <v>224.7</v>
      </c>
      <c r="K61" s="44">
        <v>300</v>
      </c>
      <c r="L61" s="43">
        <f t="shared" si="7"/>
        <v>0</v>
      </c>
      <c r="N61" s="9">
        <f t="shared" si="6"/>
        <v>100</v>
      </c>
    </row>
    <row r="62" spans="1:14" s="84" customFormat="1" ht="41.25" customHeight="1">
      <c r="A62" s="5" t="s">
        <v>44</v>
      </c>
      <c r="B62" s="125" t="s">
        <v>137</v>
      </c>
      <c r="C62" s="121"/>
      <c r="D62" s="121"/>
      <c r="E62" s="121"/>
      <c r="F62" s="20"/>
      <c r="G62" s="19"/>
      <c r="H62" s="42">
        <f>H63+H64+H65+H66</f>
        <v>106561.6</v>
      </c>
      <c r="I62" s="42">
        <f>I63+I64+I65+I66</f>
        <v>237830.19999999998</v>
      </c>
      <c r="J62" s="42">
        <f>J63+J64+J65+J66</f>
        <v>50132</v>
      </c>
      <c r="K62" s="42">
        <f>K63+K64+K65+K66</f>
        <v>142176.9</v>
      </c>
      <c r="L62" s="43">
        <f>K62-I62</f>
        <v>-95653.29999999999</v>
      </c>
      <c r="M62" s="83">
        <f>SUM(M61)</f>
        <v>0</v>
      </c>
      <c r="N62" s="9">
        <f t="shared" si="6"/>
        <v>59.78084364391065</v>
      </c>
    </row>
    <row r="63" spans="1:14" ht="35.25" customHeight="1">
      <c r="A63" s="21" t="s">
        <v>45</v>
      </c>
      <c r="B63" s="108" t="s">
        <v>46</v>
      </c>
      <c r="C63" s="108"/>
      <c r="D63" s="108"/>
      <c r="E63" s="108"/>
      <c r="F63" s="22">
        <v>47392.8</v>
      </c>
      <c r="G63" s="22">
        <v>47392.8</v>
      </c>
      <c r="H63" s="44">
        <v>9868</v>
      </c>
      <c r="I63" s="44">
        <v>55616.4</v>
      </c>
      <c r="J63" s="45">
        <v>7563.1</v>
      </c>
      <c r="K63" s="45">
        <f>50075-3100</f>
        <v>46975</v>
      </c>
      <c r="L63" s="43">
        <f t="shared" si="7"/>
        <v>-8641.400000000001</v>
      </c>
      <c r="N63" s="9">
        <f t="shared" si="6"/>
        <v>84.46249667364303</v>
      </c>
    </row>
    <row r="64" spans="1:14" ht="24.75" customHeight="1">
      <c r="A64" s="21" t="s">
        <v>47</v>
      </c>
      <c r="B64" s="108" t="s">
        <v>48</v>
      </c>
      <c r="C64" s="108"/>
      <c r="D64" s="108"/>
      <c r="E64" s="108"/>
      <c r="F64" s="22">
        <v>15404.9</v>
      </c>
      <c r="G64" s="22">
        <v>15404.9</v>
      </c>
      <c r="H64" s="44">
        <v>1093.2</v>
      </c>
      <c r="I64" s="44">
        <v>10381.5</v>
      </c>
      <c r="J64" s="45">
        <v>6184.2</v>
      </c>
      <c r="K64" s="44">
        <v>10381.5</v>
      </c>
      <c r="L64" s="43">
        <f t="shared" si="7"/>
        <v>0</v>
      </c>
      <c r="N64" s="9">
        <f t="shared" si="6"/>
        <v>100</v>
      </c>
    </row>
    <row r="65" spans="1:14" ht="35.25" customHeight="1">
      <c r="A65" s="21" t="s">
        <v>49</v>
      </c>
      <c r="B65" s="106" t="s">
        <v>50</v>
      </c>
      <c r="C65" s="106"/>
      <c r="D65" s="106"/>
      <c r="E65" s="106"/>
      <c r="F65" s="22">
        <v>31191.7</v>
      </c>
      <c r="G65" s="22">
        <v>31191.7</v>
      </c>
      <c r="H65" s="44">
        <v>90247.6</v>
      </c>
      <c r="I65" s="44">
        <v>171811.9</v>
      </c>
      <c r="J65" s="45">
        <v>36384.7</v>
      </c>
      <c r="K65" s="45">
        <f>85800-1000</f>
        <v>84800</v>
      </c>
      <c r="L65" s="43">
        <f t="shared" si="7"/>
        <v>-87011.9</v>
      </c>
      <c r="N65" s="9">
        <f t="shared" si="6"/>
        <v>49.35630186267657</v>
      </c>
    </row>
    <row r="66" spans="1:14" ht="48" customHeight="1">
      <c r="A66" s="21" t="s">
        <v>51</v>
      </c>
      <c r="B66" s="94" t="s">
        <v>129</v>
      </c>
      <c r="C66" s="94"/>
      <c r="D66" s="94"/>
      <c r="E66" s="94"/>
      <c r="F66" s="22">
        <v>56761.8</v>
      </c>
      <c r="G66" s="22">
        <v>56761.8</v>
      </c>
      <c r="H66" s="31">
        <v>5352.8</v>
      </c>
      <c r="I66" s="31">
        <v>20.4</v>
      </c>
      <c r="J66" s="45">
        <v>0</v>
      </c>
      <c r="K66" s="31">
        <v>20.4</v>
      </c>
      <c r="L66" s="43">
        <f t="shared" si="7"/>
        <v>0</v>
      </c>
      <c r="N66" s="9">
        <f t="shared" si="6"/>
        <v>100</v>
      </c>
    </row>
    <row r="67" spans="1:14" ht="48" customHeight="1">
      <c r="A67" s="5" t="s">
        <v>146</v>
      </c>
      <c r="B67" s="95" t="s">
        <v>148</v>
      </c>
      <c r="C67" s="96"/>
      <c r="D67" s="96"/>
      <c r="E67" s="97"/>
      <c r="F67" s="22"/>
      <c r="G67" s="22"/>
      <c r="H67" s="47">
        <f>SUM(H68)</f>
        <v>0</v>
      </c>
      <c r="I67" s="47">
        <f>SUM(I68)</f>
        <v>25189.2</v>
      </c>
      <c r="J67" s="47">
        <f>SUM(J68)</f>
        <v>233.4</v>
      </c>
      <c r="K67" s="47">
        <f>SUM(K68)</f>
        <v>233.4</v>
      </c>
      <c r="L67" s="47">
        <f>SUM(K67-I67)</f>
        <v>-24955.8</v>
      </c>
      <c r="N67" s="9">
        <f t="shared" si="6"/>
        <v>0.9265875851555428</v>
      </c>
    </row>
    <row r="68" spans="1:14" ht="48" customHeight="1">
      <c r="A68" s="21" t="s">
        <v>147</v>
      </c>
      <c r="B68" s="98" t="s">
        <v>149</v>
      </c>
      <c r="C68" s="99"/>
      <c r="D68" s="99"/>
      <c r="E68" s="100"/>
      <c r="F68" s="22"/>
      <c r="G68" s="22"/>
      <c r="H68" s="31">
        <v>0</v>
      </c>
      <c r="I68" s="45">
        <v>25189.2</v>
      </c>
      <c r="J68" s="45">
        <v>233.4</v>
      </c>
      <c r="K68" s="45">
        <v>233.4</v>
      </c>
      <c r="L68" s="31">
        <f>SUM(K68-I68)</f>
        <v>-24955.8</v>
      </c>
      <c r="N68" s="9">
        <f t="shared" si="6"/>
        <v>0.9265875851555428</v>
      </c>
    </row>
    <row r="69" spans="1:14" ht="38.25" customHeight="1">
      <c r="A69" s="5" t="s">
        <v>52</v>
      </c>
      <c r="B69" s="121" t="s">
        <v>53</v>
      </c>
      <c r="C69" s="121"/>
      <c r="D69" s="121"/>
      <c r="E69" s="121"/>
      <c r="F69" s="20"/>
      <c r="G69" s="19"/>
      <c r="H69" s="42">
        <f>SUM(H70:H75)</f>
        <v>940897.7999999999</v>
      </c>
      <c r="I69" s="42">
        <f>SUM(I70:I75)</f>
        <v>818801</v>
      </c>
      <c r="J69" s="42">
        <f>SUM(J70:J75)</f>
        <v>591512.3</v>
      </c>
      <c r="K69" s="42">
        <f>SUM(K70:K75)</f>
        <v>806322.3999999999</v>
      </c>
      <c r="L69" s="43">
        <f t="shared" si="7"/>
        <v>-12478.600000000093</v>
      </c>
      <c r="N69" s="9">
        <f t="shared" si="6"/>
        <v>98.47599111383595</v>
      </c>
    </row>
    <row r="70" spans="1:14" ht="30" customHeight="1">
      <c r="A70" s="21" t="s">
        <v>54</v>
      </c>
      <c r="B70" s="108" t="s">
        <v>55</v>
      </c>
      <c r="C70" s="108"/>
      <c r="D70" s="108"/>
      <c r="E70" s="108"/>
      <c r="F70" s="20"/>
      <c r="G70" s="19"/>
      <c r="H70" s="44">
        <v>450308.2</v>
      </c>
      <c r="I70" s="44">
        <v>381884.1</v>
      </c>
      <c r="J70" s="45">
        <v>277081.7</v>
      </c>
      <c r="K70" s="44">
        <f>380684.1-2000-1000-98.2</f>
        <v>377585.89999999997</v>
      </c>
      <c r="L70" s="43">
        <f t="shared" si="7"/>
        <v>-4298.200000000012</v>
      </c>
      <c r="N70" s="9">
        <f t="shared" si="6"/>
        <v>98.87447526618678</v>
      </c>
    </row>
    <row r="71" spans="1:14" ht="30" customHeight="1">
      <c r="A71" s="21" t="s">
        <v>56</v>
      </c>
      <c r="B71" s="108" t="s">
        <v>57</v>
      </c>
      <c r="C71" s="108"/>
      <c r="D71" s="108"/>
      <c r="E71" s="108"/>
      <c r="F71" s="20"/>
      <c r="G71" s="19"/>
      <c r="H71" s="44">
        <v>341675.2</v>
      </c>
      <c r="I71" s="44">
        <v>290406.4</v>
      </c>
      <c r="J71" s="45">
        <v>213166.7</v>
      </c>
      <c r="K71" s="44">
        <f>284500+3200-1000</f>
        <v>286700</v>
      </c>
      <c r="L71" s="43">
        <f t="shared" si="7"/>
        <v>-3706.4000000000233</v>
      </c>
      <c r="N71" s="9">
        <f t="shared" si="6"/>
        <v>98.7237195874471</v>
      </c>
    </row>
    <row r="72" spans="1:14" ht="30" customHeight="1">
      <c r="A72" s="21" t="s">
        <v>150</v>
      </c>
      <c r="B72" s="101" t="s">
        <v>151</v>
      </c>
      <c r="C72" s="102"/>
      <c r="D72" s="102"/>
      <c r="E72" s="103"/>
      <c r="F72" s="20"/>
      <c r="G72" s="19"/>
      <c r="H72" s="44">
        <v>110122.7</v>
      </c>
      <c r="I72" s="44">
        <v>111066.8</v>
      </c>
      <c r="J72" s="45">
        <v>74909.1</v>
      </c>
      <c r="K72" s="44">
        <f>111066.8-980-1000</f>
        <v>109086.8</v>
      </c>
      <c r="L72" s="43">
        <f t="shared" si="7"/>
        <v>-1980</v>
      </c>
      <c r="N72" s="9">
        <f t="shared" si="6"/>
        <v>98.21728905487508</v>
      </c>
    </row>
    <row r="73" spans="1:14" ht="18.75" customHeight="1" hidden="1">
      <c r="A73" s="21" t="s">
        <v>58</v>
      </c>
      <c r="B73" s="94" t="s">
        <v>59</v>
      </c>
      <c r="C73" s="108"/>
      <c r="D73" s="108"/>
      <c r="E73" s="108"/>
      <c r="F73" s="20"/>
      <c r="G73" s="19"/>
      <c r="H73" s="44"/>
      <c r="I73" s="45"/>
      <c r="J73" s="45"/>
      <c r="K73" s="45"/>
      <c r="L73" s="43">
        <f t="shared" si="7"/>
        <v>0</v>
      </c>
      <c r="N73" s="9" t="e">
        <f t="shared" si="6"/>
        <v>#DIV/0!</v>
      </c>
    </row>
    <row r="74" spans="1:14" ht="30" customHeight="1">
      <c r="A74" s="21" t="s">
        <v>60</v>
      </c>
      <c r="B74" s="108" t="s">
        <v>61</v>
      </c>
      <c r="C74" s="108"/>
      <c r="D74" s="108"/>
      <c r="E74" s="108"/>
      <c r="F74" s="20"/>
      <c r="G74" s="19"/>
      <c r="H74" s="44">
        <v>14075.7</v>
      </c>
      <c r="I74" s="45">
        <v>12549.7</v>
      </c>
      <c r="J74" s="45">
        <v>11094.8</v>
      </c>
      <c r="K74" s="45">
        <v>12549.7</v>
      </c>
      <c r="L74" s="43">
        <f t="shared" si="7"/>
        <v>0</v>
      </c>
      <c r="N74" s="9">
        <f t="shared" si="6"/>
        <v>100</v>
      </c>
    </row>
    <row r="75" spans="1:14" ht="33" customHeight="1">
      <c r="A75" s="21" t="s">
        <v>62</v>
      </c>
      <c r="B75" s="108" t="s">
        <v>63</v>
      </c>
      <c r="C75" s="108"/>
      <c r="D75" s="108"/>
      <c r="E75" s="108"/>
      <c r="F75" s="20"/>
      <c r="G75" s="19"/>
      <c r="H75" s="44">
        <v>24716</v>
      </c>
      <c r="I75" s="45">
        <v>22894</v>
      </c>
      <c r="J75" s="45">
        <v>15260</v>
      </c>
      <c r="K75" s="45">
        <v>20400</v>
      </c>
      <c r="L75" s="43">
        <f t="shared" si="7"/>
        <v>-2494</v>
      </c>
      <c r="N75" s="9">
        <f>SUM(K75/I75*100)</f>
        <v>89.10631606534463</v>
      </c>
    </row>
    <row r="76" spans="1:12" ht="38.25" customHeight="1">
      <c r="A76" s="5" t="s">
        <v>64</v>
      </c>
      <c r="B76" s="125" t="s">
        <v>112</v>
      </c>
      <c r="C76" s="125"/>
      <c r="D76" s="125"/>
      <c r="E76" s="125"/>
      <c r="F76" s="20"/>
      <c r="G76" s="19"/>
      <c r="H76" s="42">
        <f>SUM(H77:H79)</f>
        <v>56286.7</v>
      </c>
      <c r="I76" s="42">
        <f>SUM(I77:I79)</f>
        <v>59073.1</v>
      </c>
      <c r="J76" s="42">
        <f>SUM(J77:J79)</f>
        <v>43387.899999999994</v>
      </c>
      <c r="K76" s="42">
        <f>SUM(K77:K79)</f>
        <v>58191.9</v>
      </c>
      <c r="L76" s="43">
        <f>SUM(L77:L79)</f>
        <v>-881.1999999999998</v>
      </c>
    </row>
    <row r="77" spans="1:14" ht="29.25" customHeight="1">
      <c r="A77" s="21" t="s">
        <v>65</v>
      </c>
      <c r="B77" s="108" t="s">
        <v>66</v>
      </c>
      <c r="C77" s="108"/>
      <c r="D77" s="108"/>
      <c r="E77" s="108"/>
      <c r="F77" s="20"/>
      <c r="G77" s="19"/>
      <c r="H77" s="44">
        <v>52886.1</v>
      </c>
      <c r="I77" s="45">
        <v>55591.9</v>
      </c>
      <c r="J77" s="45">
        <v>40920.7</v>
      </c>
      <c r="K77" s="45">
        <f>55591.9-600</f>
        <v>54991.9</v>
      </c>
      <c r="L77" s="43">
        <f t="shared" si="7"/>
        <v>-600</v>
      </c>
      <c r="N77" s="9">
        <f>SUM(K77/I77*100)</f>
        <v>98.92070607408633</v>
      </c>
    </row>
    <row r="78" spans="1:12" ht="18.75" customHeight="1" hidden="1">
      <c r="A78" s="21" t="s">
        <v>67</v>
      </c>
      <c r="B78" s="108" t="s">
        <v>68</v>
      </c>
      <c r="C78" s="108"/>
      <c r="D78" s="108"/>
      <c r="E78" s="108"/>
      <c r="F78" s="20"/>
      <c r="G78" s="19"/>
      <c r="H78" s="44"/>
      <c r="I78" s="45"/>
      <c r="J78" s="45"/>
      <c r="K78" s="45"/>
      <c r="L78" s="43">
        <f t="shared" si="7"/>
        <v>0</v>
      </c>
    </row>
    <row r="79" spans="1:14" ht="54.75" customHeight="1">
      <c r="A79" s="21" t="s">
        <v>116</v>
      </c>
      <c r="B79" s="94" t="s">
        <v>69</v>
      </c>
      <c r="C79" s="108"/>
      <c r="D79" s="108"/>
      <c r="E79" s="108"/>
      <c r="F79" s="20"/>
      <c r="G79" s="19"/>
      <c r="H79" s="44">
        <v>3400.6</v>
      </c>
      <c r="I79" s="45">
        <v>3481.2</v>
      </c>
      <c r="J79" s="45">
        <v>2467.2</v>
      </c>
      <c r="K79" s="45">
        <v>3200</v>
      </c>
      <c r="L79" s="43">
        <f t="shared" si="7"/>
        <v>-281.1999999999998</v>
      </c>
      <c r="N79" s="9">
        <f>SUM(K79/I79*100)</f>
        <v>91.92232563483856</v>
      </c>
    </row>
    <row r="80" spans="1:14" ht="18.75" customHeight="1" hidden="1">
      <c r="A80" s="5" t="s">
        <v>70</v>
      </c>
      <c r="B80" s="125" t="s">
        <v>94</v>
      </c>
      <c r="C80" s="121"/>
      <c r="D80" s="121"/>
      <c r="E80" s="121"/>
      <c r="F80" s="20"/>
      <c r="G80" s="19"/>
      <c r="H80" s="42">
        <f>H81+H82+H83+H84+H86</f>
        <v>187656.6</v>
      </c>
      <c r="I80" s="42">
        <f>SUM(I81:I86)</f>
        <v>0</v>
      </c>
      <c r="J80" s="42">
        <f>SUM(J81:J86)</f>
        <v>0</v>
      </c>
      <c r="K80" s="42">
        <f>SUM(K81:K86)</f>
        <v>0</v>
      </c>
      <c r="L80" s="43">
        <f t="shared" si="7"/>
        <v>0</v>
      </c>
      <c r="M80" s="85">
        <f>SUM(M81:M83)</f>
        <v>0</v>
      </c>
      <c r="N80" s="9" t="e">
        <f aca="true" t="shared" si="8" ref="N80:N106">SUM(K80/I80*100)</f>
        <v>#DIV/0!</v>
      </c>
    </row>
    <row r="81" spans="1:14" ht="18.75" customHeight="1" hidden="1">
      <c r="A81" s="21" t="s">
        <v>71</v>
      </c>
      <c r="B81" s="108" t="s">
        <v>72</v>
      </c>
      <c r="C81" s="108"/>
      <c r="D81" s="108"/>
      <c r="E81" s="108"/>
      <c r="F81" s="20"/>
      <c r="G81" s="19"/>
      <c r="H81" s="44">
        <v>98449</v>
      </c>
      <c r="I81" s="45">
        <v>0</v>
      </c>
      <c r="J81" s="45">
        <v>0</v>
      </c>
      <c r="K81" s="45"/>
      <c r="L81" s="43">
        <f t="shared" si="7"/>
        <v>0</v>
      </c>
      <c r="N81" s="9" t="e">
        <f t="shared" si="8"/>
        <v>#DIV/0!</v>
      </c>
    </row>
    <row r="82" spans="1:14" ht="18.75" customHeight="1" hidden="1">
      <c r="A82" s="21" t="s">
        <v>73</v>
      </c>
      <c r="B82" s="106" t="s">
        <v>74</v>
      </c>
      <c r="C82" s="106"/>
      <c r="D82" s="106"/>
      <c r="E82" s="106"/>
      <c r="F82" s="20"/>
      <c r="G82" s="19"/>
      <c r="H82" s="44">
        <v>35812</v>
      </c>
      <c r="I82" s="45">
        <v>0</v>
      </c>
      <c r="J82" s="45">
        <v>0</v>
      </c>
      <c r="K82" s="45"/>
      <c r="L82" s="43">
        <f t="shared" si="7"/>
        <v>0</v>
      </c>
      <c r="N82" s="9" t="e">
        <f t="shared" si="8"/>
        <v>#DIV/0!</v>
      </c>
    </row>
    <row r="83" spans="1:14" ht="18.75" customHeight="1" hidden="1">
      <c r="A83" s="21" t="s">
        <v>75</v>
      </c>
      <c r="B83" s="124" t="s">
        <v>123</v>
      </c>
      <c r="C83" s="106"/>
      <c r="D83" s="106"/>
      <c r="E83" s="106"/>
      <c r="F83" s="20"/>
      <c r="G83" s="19"/>
      <c r="H83" s="44">
        <v>2510.5</v>
      </c>
      <c r="I83" s="45">
        <v>0</v>
      </c>
      <c r="J83" s="45">
        <v>0</v>
      </c>
      <c r="K83" s="45"/>
      <c r="L83" s="43">
        <f t="shared" si="7"/>
        <v>0</v>
      </c>
      <c r="N83" s="9" t="e">
        <f t="shared" si="8"/>
        <v>#DIV/0!</v>
      </c>
    </row>
    <row r="84" spans="1:14" ht="18.75" customHeight="1" hidden="1">
      <c r="A84" s="21" t="s">
        <v>76</v>
      </c>
      <c r="B84" s="108" t="s">
        <v>77</v>
      </c>
      <c r="C84" s="108"/>
      <c r="D84" s="108"/>
      <c r="E84" s="108"/>
      <c r="F84" s="20"/>
      <c r="G84" s="19"/>
      <c r="H84" s="44">
        <v>48608.7</v>
      </c>
      <c r="I84" s="45">
        <v>0</v>
      </c>
      <c r="J84" s="45">
        <v>0</v>
      </c>
      <c r="K84" s="45"/>
      <c r="L84" s="43">
        <f t="shared" si="7"/>
        <v>0</v>
      </c>
      <c r="N84" s="9" t="e">
        <f t="shared" si="8"/>
        <v>#DIV/0!</v>
      </c>
    </row>
    <row r="85" spans="1:14" ht="18.75" customHeight="1" hidden="1">
      <c r="A85" s="21" t="s">
        <v>78</v>
      </c>
      <c r="B85" s="106" t="s">
        <v>79</v>
      </c>
      <c r="C85" s="106"/>
      <c r="D85" s="106"/>
      <c r="E85" s="106"/>
      <c r="F85" s="20"/>
      <c r="G85" s="19"/>
      <c r="H85" s="44">
        <v>2276.4</v>
      </c>
      <c r="I85" s="45"/>
      <c r="J85" s="45"/>
      <c r="K85" s="45"/>
      <c r="L85" s="43">
        <f t="shared" si="7"/>
        <v>0</v>
      </c>
      <c r="N85" s="9" t="e">
        <f t="shared" si="8"/>
        <v>#DIV/0!</v>
      </c>
    </row>
    <row r="86" spans="1:14" ht="18.75" customHeight="1" hidden="1">
      <c r="A86" s="21" t="s">
        <v>117</v>
      </c>
      <c r="B86" s="124" t="s">
        <v>125</v>
      </c>
      <c r="C86" s="106"/>
      <c r="D86" s="106"/>
      <c r="E86" s="106"/>
      <c r="F86" s="20"/>
      <c r="G86" s="19"/>
      <c r="H86" s="44">
        <v>2276.4</v>
      </c>
      <c r="I86" s="45">
        <v>0</v>
      </c>
      <c r="J86" s="45">
        <v>0</v>
      </c>
      <c r="K86" s="45"/>
      <c r="L86" s="43">
        <f t="shared" si="7"/>
        <v>0</v>
      </c>
      <c r="N86" s="9" t="e">
        <f t="shared" si="8"/>
        <v>#DIV/0!</v>
      </c>
    </row>
    <row r="87" spans="1:14" ht="32.25" customHeight="1">
      <c r="A87" s="5" t="s">
        <v>80</v>
      </c>
      <c r="B87" s="121" t="s">
        <v>81</v>
      </c>
      <c r="C87" s="121"/>
      <c r="D87" s="121"/>
      <c r="E87" s="121"/>
      <c r="F87" s="20"/>
      <c r="G87" s="19"/>
      <c r="H87" s="42">
        <f>SUM(H88:H92)</f>
        <v>16686.1</v>
      </c>
      <c r="I87" s="42">
        <f>SUM(I88:I92)</f>
        <v>24776.699999999997</v>
      </c>
      <c r="J87" s="42">
        <f>SUM(J88:J92)</f>
        <v>17104.7</v>
      </c>
      <c r="K87" s="42">
        <f>SUM(K88:K92)</f>
        <v>23314.8</v>
      </c>
      <c r="L87" s="43">
        <f t="shared" si="7"/>
        <v>-1461.8999999999978</v>
      </c>
      <c r="N87" s="9">
        <f t="shared" si="8"/>
        <v>94.09969850706511</v>
      </c>
    </row>
    <row r="88" spans="1:14" ht="30" customHeight="1">
      <c r="A88" s="21" t="s">
        <v>82</v>
      </c>
      <c r="B88" s="108" t="s">
        <v>83</v>
      </c>
      <c r="C88" s="108"/>
      <c r="D88" s="108"/>
      <c r="E88" s="108"/>
      <c r="F88" s="20"/>
      <c r="G88" s="19"/>
      <c r="H88" s="44">
        <v>2391.9</v>
      </c>
      <c r="I88" s="45">
        <v>2640</v>
      </c>
      <c r="J88" s="45">
        <v>1853</v>
      </c>
      <c r="K88" s="45">
        <v>2500</v>
      </c>
      <c r="L88" s="46">
        <f t="shared" si="7"/>
        <v>-140</v>
      </c>
      <c r="N88" s="9">
        <f t="shared" si="8"/>
        <v>94.6969696969697</v>
      </c>
    </row>
    <row r="89" spans="1:14" ht="18.75" customHeight="1" hidden="1">
      <c r="A89" s="21" t="s">
        <v>84</v>
      </c>
      <c r="B89" s="108" t="s">
        <v>85</v>
      </c>
      <c r="C89" s="108"/>
      <c r="D89" s="108"/>
      <c r="E89" s="108"/>
      <c r="F89" s="20"/>
      <c r="G89" s="19"/>
      <c r="H89" s="44"/>
      <c r="I89" s="45"/>
      <c r="J89" s="45"/>
      <c r="K89" s="45"/>
      <c r="L89" s="43">
        <f t="shared" si="7"/>
        <v>0</v>
      </c>
      <c r="N89" s="9" t="e">
        <f t="shared" si="8"/>
        <v>#DIV/0!</v>
      </c>
    </row>
    <row r="90" spans="1:14" ht="27.75" customHeight="1">
      <c r="A90" s="21" t="s">
        <v>86</v>
      </c>
      <c r="B90" s="108" t="s">
        <v>87</v>
      </c>
      <c r="C90" s="108"/>
      <c r="D90" s="108"/>
      <c r="E90" s="108"/>
      <c r="F90" s="20"/>
      <c r="G90" s="19"/>
      <c r="H90" s="44">
        <v>6665</v>
      </c>
      <c r="I90" s="45">
        <v>11864.8</v>
      </c>
      <c r="J90" s="45">
        <v>10583.5</v>
      </c>
      <c r="K90" s="45">
        <v>11864.8</v>
      </c>
      <c r="L90" s="43">
        <f t="shared" si="7"/>
        <v>0</v>
      </c>
      <c r="N90" s="9">
        <f t="shared" si="8"/>
        <v>100</v>
      </c>
    </row>
    <row r="91" spans="1:14" ht="32.25" customHeight="1">
      <c r="A91" s="21" t="s">
        <v>88</v>
      </c>
      <c r="B91" s="108" t="s">
        <v>89</v>
      </c>
      <c r="C91" s="108"/>
      <c r="D91" s="108"/>
      <c r="E91" s="108"/>
      <c r="F91" s="20"/>
      <c r="G91" s="19"/>
      <c r="H91" s="44">
        <v>5811.2</v>
      </c>
      <c r="I91" s="45">
        <v>8847.9</v>
      </c>
      <c r="J91" s="45">
        <v>3674.3</v>
      </c>
      <c r="K91" s="45">
        <v>7600</v>
      </c>
      <c r="L91" s="43">
        <f t="shared" si="7"/>
        <v>-1247.8999999999996</v>
      </c>
      <c r="N91" s="9">
        <f t="shared" si="8"/>
        <v>85.89608833734559</v>
      </c>
    </row>
    <row r="92" spans="1:14" ht="33" customHeight="1">
      <c r="A92" s="21" t="s">
        <v>90</v>
      </c>
      <c r="B92" s="108" t="s">
        <v>91</v>
      </c>
      <c r="C92" s="108"/>
      <c r="D92" s="108"/>
      <c r="E92" s="108"/>
      <c r="F92" s="20"/>
      <c r="G92" s="19"/>
      <c r="H92" s="44">
        <v>1818</v>
      </c>
      <c r="I92" s="45">
        <v>1424</v>
      </c>
      <c r="J92" s="45">
        <v>993.9</v>
      </c>
      <c r="K92" s="45">
        <v>1350</v>
      </c>
      <c r="L92" s="43">
        <f t="shared" si="7"/>
        <v>-74</v>
      </c>
      <c r="N92" s="9">
        <f t="shared" si="8"/>
        <v>94.80337078651685</v>
      </c>
    </row>
    <row r="93" spans="1:252" s="86" customFormat="1" ht="32.25" customHeight="1">
      <c r="A93" s="5" t="s">
        <v>113</v>
      </c>
      <c r="B93" s="93" t="s">
        <v>79</v>
      </c>
      <c r="C93" s="93"/>
      <c r="D93" s="93"/>
      <c r="E93" s="93"/>
      <c r="F93" s="1"/>
      <c r="G93" s="1"/>
      <c r="H93" s="42">
        <f>SUM(H94:H95)</f>
        <v>5336</v>
      </c>
      <c r="I93" s="42">
        <f>SUM(I94:I95)</f>
        <v>15283.3</v>
      </c>
      <c r="J93" s="42">
        <f>SUM(J94:J95)</f>
        <v>11549</v>
      </c>
      <c r="K93" s="42">
        <f>SUM(K94:K95)</f>
        <v>14377.4</v>
      </c>
      <c r="L93" s="43">
        <f>SUM(L94:L95)</f>
        <v>-905.8999999999996</v>
      </c>
      <c r="M93" s="2"/>
      <c r="N93" s="9">
        <f t="shared" si="8"/>
        <v>94.07261520744865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</row>
    <row r="94" spans="1:252" s="84" customFormat="1" ht="32.25" customHeight="1">
      <c r="A94" s="21" t="s">
        <v>118</v>
      </c>
      <c r="B94" s="122" t="s">
        <v>120</v>
      </c>
      <c r="C94" s="122"/>
      <c r="D94" s="122"/>
      <c r="E94" s="122"/>
      <c r="F94" s="25"/>
      <c r="G94" s="25"/>
      <c r="H94" s="44">
        <v>2433.7</v>
      </c>
      <c r="I94" s="45">
        <v>12405.9</v>
      </c>
      <c r="J94" s="45">
        <v>9421.2</v>
      </c>
      <c r="K94" s="45">
        <v>11500</v>
      </c>
      <c r="L94" s="46">
        <f t="shared" si="7"/>
        <v>-905.8999999999996</v>
      </c>
      <c r="M94" s="26"/>
      <c r="N94" s="9">
        <f t="shared" si="8"/>
        <v>92.6978292586592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</row>
    <row r="95" spans="1:252" s="84" customFormat="1" ht="43.5" customHeight="1">
      <c r="A95" s="21" t="s">
        <v>119</v>
      </c>
      <c r="B95" s="123" t="s">
        <v>121</v>
      </c>
      <c r="C95" s="122"/>
      <c r="D95" s="122"/>
      <c r="E95" s="122"/>
      <c r="F95" s="25"/>
      <c r="G95" s="25"/>
      <c r="H95" s="44">
        <v>2902.3</v>
      </c>
      <c r="I95" s="45">
        <v>2877.4</v>
      </c>
      <c r="J95" s="45">
        <v>2127.8</v>
      </c>
      <c r="K95" s="45">
        <v>2877.4</v>
      </c>
      <c r="L95" s="46">
        <f t="shared" si="7"/>
        <v>0</v>
      </c>
      <c r="M95" s="26"/>
      <c r="N95" s="9">
        <f t="shared" si="8"/>
        <v>100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</row>
    <row r="96" spans="1:252" s="86" customFormat="1" ht="32.25" customHeight="1">
      <c r="A96" s="5" t="s">
        <v>107</v>
      </c>
      <c r="B96" s="93" t="s">
        <v>114</v>
      </c>
      <c r="C96" s="93"/>
      <c r="D96" s="93"/>
      <c r="E96" s="93"/>
      <c r="F96" s="1"/>
      <c r="G96" s="1"/>
      <c r="H96" s="42">
        <f>H97</f>
        <v>1520.5</v>
      </c>
      <c r="I96" s="42">
        <f>I97</f>
        <v>1542.4</v>
      </c>
      <c r="J96" s="42">
        <f>J97</f>
        <v>1070.1</v>
      </c>
      <c r="K96" s="42">
        <f>K97</f>
        <v>1542.4</v>
      </c>
      <c r="L96" s="43">
        <f>L97</f>
        <v>0</v>
      </c>
      <c r="M96" s="2"/>
      <c r="N96" s="9">
        <f t="shared" si="8"/>
        <v>100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s="84" customFormat="1" ht="27" customHeight="1">
      <c r="A97" s="21" t="s">
        <v>108</v>
      </c>
      <c r="B97" s="122" t="s">
        <v>68</v>
      </c>
      <c r="C97" s="122"/>
      <c r="D97" s="122"/>
      <c r="E97" s="122"/>
      <c r="F97" s="25"/>
      <c r="G97" s="25"/>
      <c r="H97" s="44">
        <v>1520.5</v>
      </c>
      <c r="I97" s="45">
        <v>1542.4</v>
      </c>
      <c r="J97" s="45">
        <v>1070.1</v>
      </c>
      <c r="K97" s="45">
        <v>1542.4</v>
      </c>
      <c r="L97" s="46">
        <f t="shared" si="7"/>
        <v>0</v>
      </c>
      <c r="M97" s="26"/>
      <c r="N97" s="9">
        <f t="shared" si="8"/>
        <v>100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</row>
    <row r="98" spans="1:252" s="86" customFormat="1" ht="40.5" customHeight="1">
      <c r="A98" s="5" t="s">
        <v>109</v>
      </c>
      <c r="B98" s="92" t="s">
        <v>115</v>
      </c>
      <c r="C98" s="93"/>
      <c r="D98" s="93"/>
      <c r="E98" s="93"/>
      <c r="F98" s="1"/>
      <c r="G98" s="1"/>
      <c r="H98" s="42">
        <f>SUM(H105)</f>
        <v>14166.6</v>
      </c>
      <c r="I98" s="42">
        <f>SUM(I105)</f>
        <v>17736.2</v>
      </c>
      <c r="J98" s="42">
        <f>SUM(J105)</f>
        <v>11920.8</v>
      </c>
      <c r="K98" s="42">
        <f>SUM(K105)</f>
        <v>16000</v>
      </c>
      <c r="L98" s="43">
        <f>SUM(L105)</f>
        <v>-1736.2000000000007</v>
      </c>
      <c r="M98" s="2"/>
      <c r="N98" s="9">
        <f t="shared" si="8"/>
        <v>90.2109809316539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s="84" customFormat="1" ht="18.75" customHeight="1" hidden="1">
      <c r="A99" s="21" t="s">
        <v>101</v>
      </c>
      <c r="B99" s="24"/>
      <c r="C99" s="24"/>
      <c r="D99" s="24"/>
      <c r="E99" s="24"/>
      <c r="F99" s="25"/>
      <c r="G99" s="25"/>
      <c r="H99" s="45"/>
      <c r="I99" s="45"/>
      <c r="J99" s="45"/>
      <c r="K99" s="45"/>
      <c r="L99" s="43">
        <f aca="true" t="shared" si="9" ref="L99:L104">SUM(L106)</f>
        <v>-146870.90000000008</v>
      </c>
      <c r="M99" s="26"/>
      <c r="N99" s="9" t="e">
        <f t="shared" si="8"/>
        <v>#DIV/0!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</row>
    <row r="100" spans="1:252" s="84" customFormat="1" ht="18.75" customHeight="1" hidden="1">
      <c r="A100" s="21" t="s">
        <v>102</v>
      </c>
      <c r="B100" s="24"/>
      <c r="C100" s="24"/>
      <c r="D100" s="24"/>
      <c r="E100" s="24"/>
      <c r="F100" s="25"/>
      <c r="G100" s="25"/>
      <c r="H100" s="45"/>
      <c r="I100" s="45"/>
      <c r="J100" s="45"/>
      <c r="K100" s="45"/>
      <c r="L100" s="43">
        <f t="shared" si="9"/>
        <v>2.3283064365386963E-10</v>
      </c>
      <c r="M100" s="26"/>
      <c r="N100" s="9" t="e">
        <f t="shared" si="8"/>
        <v>#DIV/0!</v>
      </c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</row>
    <row r="101" spans="1:252" s="84" customFormat="1" ht="18.75" customHeight="1" hidden="1">
      <c r="A101" s="21" t="s">
        <v>103</v>
      </c>
      <c r="B101" s="24"/>
      <c r="C101" s="24"/>
      <c r="D101" s="24"/>
      <c r="E101" s="24"/>
      <c r="F101" s="25"/>
      <c r="G101" s="25"/>
      <c r="H101" s="45"/>
      <c r="I101" s="45"/>
      <c r="J101" s="45"/>
      <c r="K101" s="45"/>
      <c r="L101" s="43">
        <f t="shared" si="9"/>
        <v>0</v>
      </c>
      <c r="M101" s="26"/>
      <c r="N101" s="9" t="e">
        <f t="shared" si="8"/>
        <v>#DIV/0!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</row>
    <row r="102" spans="1:252" s="84" customFormat="1" ht="18.75" customHeight="1" hidden="1">
      <c r="A102" s="21" t="s">
        <v>104</v>
      </c>
      <c r="B102" s="24"/>
      <c r="C102" s="24"/>
      <c r="D102" s="24"/>
      <c r="E102" s="24"/>
      <c r="F102" s="25"/>
      <c r="G102" s="25"/>
      <c r="H102" s="45"/>
      <c r="I102" s="45"/>
      <c r="J102" s="45"/>
      <c r="K102" s="45"/>
      <c r="L102" s="43">
        <f t="shared" si="9"/>
        <v>0</v>
      </c>
      <c r="M102" s="26"/>
      <c r="N102" s="9" t="e">
        <f t="shared" si="8"/>
        <v>#DIV/0!</v>
      </c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</row>
    <row r="103" spans="1:252" s="84" customFormat="1" ht="18.75" customHeight="1" hidden="1">
      <c r="A103" s="21" t="s">
        <v>105</v>
      </c>
      <c r="B103" s="24"/>
      <c r="C103" s="24"/>
      <c r="D103" s="24"/>
      <c r="E103" s="24"/>
      <c r="F103" s="25"/>
      <c r="G103" s="25"/>
      <c r="H103" s="45"/>
      <c r="I103" s="45"/>
      <c r="J103" s="45"/>
      <c r="K103" s="45"/>
      <c r="L103" s="43">
        <f t="shared" si="9"/>
        <v>0</v>
      </c>
      <c r="M103" s="26"/>
      <c r="N103" s="9" t="e">
        <f t="shared" si="8"/>
        <v>#DIV/0!</v>
      </c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</row>
    <row r="104" spans="1:252" s="84" customFormat="1" ht="18.75" customHeight="1" hidden="1">
      <c r="A104" s="21" t="s">
        <v>106</v>
      </c>
      <c r="B104" s="24"/>
      <c r="C104" s="24"/>
      <c r="D104" s="24"/>
      <c r="E104" s="24"/>
      <c r="F104" s="25"/>
      <c r="G104" s="25"/>
      <c r="H104" s="45"/>
      <c r="I104" s="45"/>
      <c r="J104" s="45"/>
      <c r="K104" s="45"/>
      <c r="L104" s="43">
        <f t="shared" si="9"/>
        <v>0</v>
      </c>
      <c r="M104" s="26"/>
      <c r="N104" s="9" t="e">
        <f t="shared" si="8"/>
        <v>#DIV/0!</v>
      </c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</row>
    <row r="105" spans="1:252" s="84" customFormat="1" ht="40.5" customHeight="1">
      <c r="A105" s="21" t="s">
        <v>110</v>
      </c>
      <c r="B105" s="94" t="s">
        <v>29</v>
      </c>
      <c r="C105" s="94"/>
      <c r="D105" s="94"/>
      <c r="E105" s="94"/>
      <c r="F105" s="25"/>
      <c r="G105" s="25"/>
      <c r="H105" s="44">
        <v>14166.6</v>
      </c>
      <c r="I105" s="45">
        <v>17736.2</v>
      </c>
      <c r="J105" s="45">
        <v>11920.8</v>
      </c>
      <c r="K105" s="45">
        <v>16000</v>
      </c>
      <c r="L105" s="46">
        <f>K105-I105</f>
        <v>-1736.2000000000007</v>
      </c>
      <c r="M105" s="26"/>
      <c r="N105" s="9">
        <f t="shared" si="8"/>
        <v>90.2109809316539</v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</row>
    <row r="106" spans="1:252" s="84" customFormat="1" ht="36.75" customHeight="1">
      <c r="A106" s="114" t="s">
        <v>92</v>
      </c>
      <c r="B106" s="115"/>
      <c r="C106" s="115"/>
      <c r="D106" s="115"/>
      <c r="E106" s="115"/>
      <c r="F106" s="20"/>
      <c r="G106" s="19"/>
      <c r="H106" s="42">
        <f>H44+H53+H57+H62+H69+H76+H87+H93+H96+H98+H67</f>
        <v>1389138.7</v>
      </c>
      <c r="I106" s="42">
        <f>I44+I53+I57+I62+I69+I76+I87+I93+I96+I98+I67</f>
        <v>1456387.0999999999</v>
      </c>
      <c r="J106" s="42">
        <f>J44+J53+J57+J62+J69+J76+J87+J93+J96+J98+J67</f>
        <v>871852.9</v>
      </c>
      <c r="K106" s="42">
        <f>K44+K53+K57+K62+K69+K76+K87+K93+K96+K98+K67</f>
        <v>1309516.1999999995</v>
      </c>
      <c r="L106" s="43">
        <f>L98+L96+L93+L87+L80+L76+L69+L62+L57+L53+L44+L67</f>
        <v>-146870.90000000008</v>
      </c>
      <c r="M106" s="26"/>
      <c r="N106" s="9">
        <f t="shared" si="8"/>
        <v>89.91539405972489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</row>
    <row r="107" spans="1:12" ht="39" customHeight="1">
      <c r="A107" s="116" t="s">
        <v>95</v>
      </c>
      <c r="B107" s="117"/>
      <c r="C107" s="117"/>
      <c r="D107" s="117"/>
      <c r="E107" s="117"/>
      <c r="F107" s="20"/>
      <c r="G107" s="87"/>
      <c r="H107" s="42">
        <f>H39-H106</f>
        <v>-32502.40000000014</v>
      </c>
      <c r="I107" s="42">
        <f>I39-I106</f>
        <v>-34010.89999999991</v>
      </c>
      <c r="J107" s="42">
        <f>J39-J106</f>
        <v>-3228.70000000007</v>
      </c>
      <c r="K107" s="42">
        <f>K39-K106</f>
        <v>-34010.899999999674</v>
      </c>
      <c r="L107" s="46">
        <f>K107-I107+L122</f>
        <v>2.3283064365386963E-10</v>
      </c>
    </row>
    <row r="108" spans="1:12" ht="18.75" customHeight="1" hidden="1">
      <c r="A108" s="114"/>
      <c r="B108" s="115"/>
      <c r="C108" s="115"/>
      <c r="D108" s="115"/>
      <c r="E108" s="115"/>
      <c r="F108" s="20"/>
      <c r="G108" s="87"/>
      <c r="H108" s="42"/>
      <c r="I108" s="48"/>
      <c r="J108" s="48"/>
      <c r="K108" s="48"/>
      <c r="L108" s="88">
        <f aca="true" t="shared" si="10" ref="L108:L115">K108-I108</f>
        <v>0</v>
      </c>
    </row>
    <row r="109" spans="1:12" ht="69.75" customHeight="1">
      <c r="A109" s="116" t="s">
        <v>162</v>
      </c>
      <c r="B109" s="117"/>
      <c r="C109" s="117"/>
      <c r="D109" s="117"/>
      <c r="E109" s="117"/>
      <c r="F109" s="20"/>
      <c r="G109" s="87"/>
      <c r="H109" s="42">
        <f>H106-H39</f>
        <v>32502.40000000014</v>
      </c>
      <c r="I109" s="42">
        <f>I106-I39</f>
        <v>34010.89999999991</v>
      </c>
      <c r="J109" s="42">
        <f>J106-J39</f>
        <v>3228.70000000007</v>
      </c>
      <c r="K109" s="42">
        <f>K106-K39</f>
        <v>34010.899999999674</v>
      </c>
      <c r="L109" s="43">
        <f>L106-L39</f>
        <v>0</v>
      </c>
    </row>
    <row r="110" spans="1:12" ht="18.75" customHeight="1" hidden="1">
      <c r="A110" s="120"/>
      <c r="B110" s="121"/>
      <c r="C110" s="121"/>
      <c r="D110" s="121"/>
      <c r="E110" s="121"/>
      <c r="F110" s="121"/>
      <c r="G110" s="87"/>
      <c r="H110" s="48"/>
      <c r="I110" s="48"/>
      <c r="J110" s="48"/>
      <c r="K110" s="48"/>
      <c r="L110" s="46">
        <f t="shared" si="10"/>
        <v>0</v>
      </c>
    </row>
    <row r="111" spans="1:12" ht="18.75" customHeight="1" hidden="1">
      <c r="A111" s="120"/>
      <c r="B111" s="121"/>
      <c r="C111" s="121"/>
      <c r="D111" s="121"/>
      <c r="E111" s="121"/>
      <c r="F111" s="121"/>
      <c r="G111" s="87"/>
      <c r="H111" s="48"/>
      <c r="I111" s="48"/>
      <c r="J111" s="48"/>
      <c r="K111" s="48"/>
      <c r="L111" s="46">
        <f t="shared" si="10"/>
        <v>0</v>
      </c>
    </row>
    <row r="112" spans="1:12" ht="18.75" customHeight="1" hidden="1">
      <c r="A112" s="107" t="s">
        <v>96</v>
      </c>
      <c r="B112" s="108"/>
      <c r="C112" s="108"/>
      <c r="D112" s="108"/>
      <c r="E112" s="108"/>
      <c r="F112" s="108"/>
      <c r="G112" s="87"/>
      <c r="H112" s="48"/>
      <c r="I112" s="48"/>
      <c r="J112" s="49">
        <f>J113</f>
        <v>0</v>
      </c>
      <c r="K112" s="48"/>
      <c r="L112" s="46">
        <f t="shared" si="10"/>
        <v>0</v>
      </c>
    </row>
    <row r="113" spans="1:12" ht="18.75" customHeight="1" hidden="1">
      <c r="A113" s="118" t="s">
        <v>97</v>
      </c>
      <c r="B113" s="119"/>
      <c r="C113" s="119"/>
      <c r="D113" s="119"/>
      <c r="E113" s="119"/>
      <c r="F113" s="119"/>
      <c r="G113" s="87"/>
      <c r="H113" s="48"/>
      <c r="I113" s="48"/>
      <c r="J113" s="50"/>
      <c r="K113" s="48"/>
      <c r="L113" s="46">
        <f t="shared" si="10"/>
        <v>0</v>
      </c>
    </row>
    <row r="114" spans="1:12" ht="18.75" customHeight="1" hidden="1">
      <c r="A114" s="107" t="s">
        <v>96</v>
      </c>
      <c r="B114" s="108"/>
      <c r="C114" s="108"/>
      <c r="D114" s="108"/>
      <c r="E114" s="108"/>
      <c r="F114" s="108"/>
      <c r="G114" s="87"/>
      <c r="H114" s="48"/>
      <c r="I114" s="48"/>
      <c r="J114" s="49">
        <f>SUM(J115)</f>
        <v>0</v>
      </c>
      <c r="K114" s="48"/>
      <c r="L114" s="46">
        <f t="shared" si="10"/>
        <v>0</v>
      </c>
    </row>
    <row r="115" spans="1:12" ht="18.75" customHeight="1" hidden="1">
      <c r="A115" s="118" t="s">
        <v>98</v>
      </c>
      <c r="B115" s="119"/>
      <c r="C115" s="119"/>
      <c r="D115" s="119"/>
      <c r="E115" s="119"/>
      <c r="F115" s="119"/>
      <c r="G115" s="87"/>
      <c r="H115" s="48"/>
      <c r="I115" s="48"/>
      <c r="J115" s="50"/>
      <c r="K115" s="48"/>
      <c r="L115" s="46">
        <f t="shared" si="10"/>
        <v>0</v>
      </c>
    </row>
    <row r="116" spans="1:12" ht="53.25" customHeight="1">
      <c r="A116" s="120" t="s">
        <v>99</v>
      </c>
      <c r="B116" s="121"/>
      <c r="C116" s="121"/>
      <c r="D116" s="121"/>
      <c r="E116" s="121"/>
      <c r="F116" s="121"/>
      <c r="G116" s="87"/>
      <c r="H116" s="45">
        <f>SUM(H117:H118)</f>
        <v>32000</v>
      </c>
      <c r="I116" s="45">
        <f>SUM(I117:I118)</f>
        <v>30000</v>
      </c>
      <c r="J116" s="45">
        <f>SUM(J117:J118)</f>
        <v>-51000</v>
      </c>
      <c r="K116" s="45">
        <f>SUM(K117:K118)</f>
        <v>30000</v>
      </c>
      <c r="L116" s="46">
        <f>SUM(L117:L118)</f>
        <v>0</v>
      </c>
    </row>
    <row r="117" spans="1:12" ht="63" customHeight="1">
      <c r="A117" s="107" t="s">
        <v>179</v>
      </c>
      <c r="B117" s="108"/>
      <c r="C117" s="108"/>
      <c r="D117" s="108"/>
      <c r="E117" s="108"/>
      <c r="F117" s="108"/>
      <c r="G117" s="87"/>
      <c r="H117" s="45">
        <v>216000</v>
      </c>
      <c r="I117" s="45">
        <v>154000</v>
      </c>
      <c r="J117" s="45">
        <v>69000</v>
      </c>
      <c r="K117" s="45">
        <v>154000</v>
      </c>
      <c r="L117" s="46">
        <f>SUM(K117-I117)</f>
        <v>0</v>
      </c>
    </row>
    <row r="118" spans="1:12" ht="39.75" customHeight="1">
      <c r="A118" s="107" t="s">
        <v>178</v>
      </c>
      <c r="B118" s="108"/>
      <c r="C118" s="108"/>
      <c r="D118" s="108"/>
      <c r="E118" s="108"/>
      <c r="F118" s="108"/>
      <c r="G118" s="87"/>
      <c r="H118" s="45">
        <v>-184000</v>
      </c>
      <c r="I118" s="45">
        <v>-124000</v>
      </c>
      <c r="J118" s="45">
        <v>-120000</v>
      </c>
      <c r="K118" s="45">
        <v>-124000</v>
      </c>
      <c r="L118" s="46">
        <f>SUM(K118-I118)</f>
        <v>0</v>
      </c>
    </row>
    <row r="119" spans="1:12" ht="60.75" customHeight="1">
      <c r="A119" s="107" t="s">
        <v>172</v>
      </c>
      <c r="B119" s="108"/>
      <c r="C119" s="108"/>
      <c r="D119" s="108"/>
      <c r="E119" s="108"/>
      <c r="F119" s="108"/>
      <c r="G119" s="87"/>
      <c r="H119" s="45">
        <v>168900</v>
      </c>
      <c r="I119" s="45">
        <f>57000+57000+57000+30000</f>
        <v>201000</v>
      </c>
      <c r="J119" s="45">
        <f>57000+57000+57000+30000</f>
        <v>201000</v>
      </c>
      <c r="K119" s="45">
        <f>57000+57000+57000+30000</f>
        <v>201000</v>
      </c>
      <c r="L119" s="46">
        <f>SUM(K119-I119)</f>
        <v>0</v>
      </c>
    </row>
    <row r="120" spans="1:12" ht="83.25" customHeight="1">
      <c r="A120" s="107" t="s">
        <v>171</v>
      </c>
      <c r="B120" s="108"/>
      <c r="C120" s="108"/>
      <c r="D120" s="108"/>
      <c r="E120" s="108"/>
      <c r="F120" s="108"/>
      <c r="G120" s="87"/>
      <c r="H120" s="45">
        <v>-168900</v>
      </c>
      <c r="I120" s="45">
        <v>-201000</v>
      </c>
      <c r="J120" s="45">
        <f>-(57000+57000+30000)</f>
        <v>-144000</v>
      </c>
      <c r="K120" s="45">
        <v>-201000</v>
      </c>
      <c r="L120" s="46">
        <f>SUM(K120-I120)</f>
        <v>0</v>
      </c>
    </row>
    <row r="121" spans="1:12" ht="63.75" customHeight="1">
      <c r="A121" s="105" t="s">
        <v>173</v>
      </c>
      <c r="B121" s="106"/>
      <c r="C121" s="106"/>
      <c r="D121" s="106"/>
      <c r="E121" s="106"/>
      <c r="F121" s="15"/>
      <c r="G121" s="87"/>
      <c r="H121" s="45">
        <v>0</v>
      </c>
      <c r="I121" s="45" t="s">
        <v>163</v>
      </c>
      <c r="J121" s="45">
        <v>44791.7</v>
      </c>
      <c r="K121" s="45">
        <v>0</v>
      </c>
      <c r="L121" s="46">
        <v>0</v>
      </c>
    </row>
    <row r="122" spans="1:12" ht="57" customHeight="1">
      <c r="A122" s="109" t="s">
        <v>126</v>
      </c>
      <c r="B122" s="110"/>
      <c r="C122" s="110"/>
      <c r="D122" s="110"/>
      <c r="E122" s="110"/>
      <c r="F122" s="110"/>
      <c r="G122" s="87"/>
      <c r="H122" s="49"/>
      <c r="I122" s="45">
        <v>0</v>
      </c>
      <c r="J122" s="45">
        <v>0</v>
      </c>
      <c r="K122" s="45">
        <v>0</v>
      </c>
      <c r="L122" s="46">
        <v>0</v>
      </c>
    </row>
    <row r="123" spans="1:13" s="91" customFormat="1" ht="32.25" customHeight="1" thickBot="1">
      <c r="A123" s="111" t="s">
        <v>164</v>
      </c>
      <c r="B123" s="112"/>
      <c r="C123" s="112"/>
      <c r="D123" s="112"/>
      <c r="E123" s="112"/>
      <c r="F123" s="112"/>
      <c r="G123" s="89"/>
      <c r="H123" s="51">
        <f>H109-H116-H122</f>
        <v>502.4000000001397</v>
      </c>
      <c r="I123" s="51">
        <f>I109-I116-I122</f>
        <v>4010.899999999907</v>
      </c>
      <c r="J123" s="51">
        <v>-47563</v>
      </c>
      <c r="K123" s="51">
        <f>K109-K116-K122</f>
        <v>4010.899999999674</v>
      </c>
      <c r="L123" s="43">
        <v>0</v>
      </c>
      <c r="M123" s="90">
        <f>M109-M116-M122</f>
        <v>0</v>
      </c>
    </row>
    <row r="124" spans="1:13" s="91" customFormat="1" ht="18.7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9"/>
    </row>
    <row r="125" spans="1:10" ht="20.25" customHeight="1">
      <c r="A125" s="104" t="s">
        <v>152</v>
      </c>
      <c r="B125" s="104"/>
      <c r="C125" s="104"/>
      <c r="D125" s="104"/>
      <c r="E125" s="104"/>
      <c r="F125" s="104"/>
      <c r="G125" s="104"/>
      <c r="H125" s="104"/>
      <c r="I125" s="104"/>
      <c r="J125" s="3"/>
    </row>
    <row r="126" spans="1:12" ht="18.75">
      <c r="A126" s="3" t="s">
        <v>122</v>
      </c>
      <c r="B126" s="3"/>
      <c r="C126" s="3"/>
      <c r="D126" s="3"/>
      <c r="E126" s="3"/>
      <c r="F126" s="3"/>
      <c r="G126" s="3"/>
      <c r="H126" s="3"/>
      <c r="J126" s="168" t="s">
        <v>153</v>
      </c>
      <c r="K126" s="168"/>
      <c r="L126" s="168"/>
    </row>
    <row r="127" spans="1:8" ht="18.75">
      <c r="A127" s="3"/>
      <c r="B127" s="3"/>
      <c r="C127" s="3"/>
      <c r="D127" s="3"/>
      <c r="E127" s="3"/>
      <c r="F127" s="3"/>
      <c r="G127" s="3"/>
      <c r="H127" s="3"/>
    </row>
  </sheetData>
  <sheetProtection/>
  <mergeCells count="119">
    <mergeCell ref="A14:E14"/>
    <mergeCell ref="A16:E16"/>
    <mergeCell ref="J126:L126"/>
    <mergeCell ref="A8:F8"/>
    <mergeCell ref="A31:F31"/>
    <mergeCell ref="A32:F32"/>
    <mergeCell ref="A29:F29"/>
    <mergeCell ref="A24:F24"/>
    <mergeCell ref="A22:F22"/>
    <mergeCell ref="A118:F118"/>
    <mergeCell ref="A38:F38"/>
    <mergeCell ref="A10:F10"/>
    <mergeCell ref="A23:F23"/>
    <mergeCell ref="A15:F15"/>
    <mergeCell ref="B63:E63"/>
    <mergeCell ref="A43:F43"/>
    <mergeCell ref="A28:F28"/>
    <mergeCell ref="A26:E26"/>
    <mergeCell ref="A13:E13"/>
    <mergeCell ref="A34:E34"/>
    <mergeCell ref="A35:E35"/>
    <mergeCell ref="A37:E37"/>
    <mergeCell ref="A33:F33"/>
    <mergeCell ref="A36:F36"/>
    <mergeCell ref="A21:F21"/>
    <mergeCell ref="A30:E30"/>
    <mergeCell ref="B79:E79"/>
    <mergeCell ref="A27:F27"/>
    <mergeCell ref="A39:E39"/>
    <mergeCell ref="B77:E77"/>
    <mergeCell ref="B44:E44"/>
    <mergeCell ref="B45:E45"/>
    <mergeCell ref="B46:E46"/>
    <mergeCell ref="B47:E47"/>
    <mergeCell ref="B48:E48"/>
    <mergeCell ref="B49:E49"/>
    <mergeCell ref="A1:L1"/>
    <mergeCell ref="H4:H6"/>
    <mergeCell ref="G4:G6"/>
    <mergeCell ref="A4:F6"/>
    <mergeCell ref="I4:I6"/>
    <mergeCell ref="L4:L6"/>
    <mergeCell ref="J4:K5"/>
    <mergeCell ref="A106:E106"/>
    <mergeCell ref="B64:E64"/>
    <mergeCell ref="B57:E57"/>
    <mergeCell ref="B58:E58"/>
    <mergeCell ref="B60:E60"/>
    <mergeCell ref="B61:E61"/>
    <mergeCell ref="B62:E62"/>
    <mergeCell ref="B74:E74"/>
    <mergeCell ref="B87:E87"/>
    <mergeCell ref="B80:E80"/>
    <mergeCell ref="M4:M6"/>
    <mergeCell ref="A25:F25"/>
    <mergeCell ref="A20:F20"/>
    <mergeCell ref="A17:F17"/>
    <mergeCell ref="A18:F18"/>
    <mergeCell ref="A7:F7"/>
    <mergeCell ref="A9:F9"/>
    <mergeCell ref="A12:F12"/>
    <mergeCell ref="A11:E11"/>
    <mergeCell ref="A19:F19"/>
    <mergeCell ref="B81:E81"/>
    <mergeCell ref="B75:E75"/>
    <mergeCell ref="B85:E85"/>
    <mergeCell ref="B50:E50"/>
    <mergeCell ref="B51:E51"/>
    <mergeCell ref="B52:E52"/>
    <mergeCell ref="B53:E53"/>
    <mergeCell ref="B56:E56"/>
    <mergeCell ref="B73:E73"/>
    <mergeCell ref="B59:E59"/>
    <mergeCell ref="B86:E86"/>
    <mergeCell ref="B55:E55"/>
    <mergeCell ref="B82:E82"/>
    <mergeCell ref="B83:E83"/>
    <mergeCell ref="B84:E84"/>
    <mergeCell ref="B65:E65"/>
    <mergeCell ref="B66:E66"/>
    <mergeCell ref="B76:E76"/>
    <mergeCell ref="B69:E69"/>
    <mergeCell ref="B78:E78"/>
    <mergeCell ref="B54:E54"/>
    <mergeCell ref="B70:E70"/>
    <mergeCell ref="B71:E71"/>
    <mergeCell ref="A111:F111"/>
    <mergeCell ref="A112:F112"/>
    <mergeCell ref="A107:E107"/>
    <mergeCell ref="B95:E95"/>
    <mergeCell ref="B88:E88"/>
    <mergeCell ref="B89:E89"/>
    <mergeCell ref="B90:E90"/>
    <mergeCell ref="B91:E91"/>
    <mergeCell ref="B92:E92"/>
    <mergeCell ref="B93:E93"/>
    <mergeCell ref="B96:E96"/>
    <mergeCell ref="B97:E97"/>
    <mergeCell ref="B94:E94"/>
    <mergeCell ref="A123:F123"/>
    <mergeCell ref="A124:L124"/>
    <mergeCell ref="A108:E108"/>
    <mergeCell ref="A109:E109"/>
    <mergeCell ref="A115:F115"/>
    <mergeCell ref="A116:F116"/>
    <mergeCell ref="A117:F117"/>
    <mergeCell ref="A114:F114"/>
    <mergeCell ref="A110:F110"/>
    <mergeCell ref="A113:F113"/>
    <mergeCell ref="B98:E98"/>
    <mergeCell ref="B105:E105"/>
    <mergeCell ref="B67:E67"/>
    <mergeCell ref="B68:E68"/>
    <mergeCell ref="B72:E72"/>
    <mergeCell ref="A125:I125"/>
    <mergeCell ref="A121:E121"/>
    <mergeCell ref="A119:F119"/>
    <mergeCell ref="A120:F120"/>
    <mergeCell ref="A122:F122"/>
  </mergeCells>
  <printOptions horizontalCentered="1"/>
  <pageMargins left="0.984251968503937" right="0.3937007874015748" top="0.984251968503937" bottom="0.5905511811023623" header="0.2755905511811024" footer="0.2362204724409449"/>
  <pageSetup fitToHeight="3" horizontalDpi="600" verticalDpi="600" orientation="landscape" paperSize="9" scale="85" r:id="rId1"/>
  <rowBreaks count="3" manualBreakCount="3">
    <brk id="22" max="11" man="1"/>
    <brk id="39" max="11" man="1"/>
    <brk id="52" max="11" man="1"/>
  </rowBreaks>
  <colBreaks count="1" manualBreakCount="1">
    <brk id="12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Любовь Клочкова</cp:lastModifiedBy>
  <cp:lastPrinted>2019-11-08T12:00:40Z</cp:lastPrinted>
  <dcterms:created xsi:type="dcterms:W3CDTF">2007-03-21T07:05:33Z</dcterms:created>
  <dcterms:modified xsi:type="dcterms:W3CDTF">2019-11-08T12:06:17Z</dcterms:modified>
  <cp:category/>
  <cp:version/>
  <cp:contentType/>
  <cp:contentStatus/>
</cp:coreProperties>
</file>